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L-3112" sheetId="2" state="visible" r:id="rId2"/>
    <sheet xmlns:r="http://schemas.openxmlformats.org/officeDocument/2006/relationships" name="Example" sheetId="3" state="visible" r:id="rId3"/>
    <sheet xmlns:r="http://schemas.openxmlformats.org/officeDocument/2006/relationships" name="TL-3112 (2004)" sheetId="4" state="visible" r:id="rId4"/>
    <sheet xmlns:r="http://schemas.openxmlformats.org/officeDocument/2006/relationships" name="Example (2004)" sheetId="5" state="visible" r:id="rId5"/>
    <sheet xmlns:r="http://schemas.openxmlformats.org/officeDocument/2006/relationships" name="Table 1" sheetId="6" state="visible" r:id="rId6"/>
    <sheet xmlns:r="http://schemas.openxmlformats.org/officeDocument/2006/relationships" name="Table 2" sheetId="7" state="visible" r:id="rId7"/>
  </sheets>
  <definedNames>
    <definedName name="_xlnm.Print_Area" localSheetId="0">'How to Use'!$A$1:$G$76</definedName>
    <definedName name="_xlnm.Print_Area" localSheetId="1">'TL-3112'!$A$1:$L$46</definedName>
    <definedName name="_xlnm.Print_Area" localSheetId="2">'Example'!$A$1:$L$46</definedName>
    <definedName name="_xlnm.Print_Area" localSheetId="3">'TL-3112 (2004)'!$A$1:$L$43</definedName>
    <definedName name="_xlnm.Print_Area" localSheetId="4">'Example (2004)'!$A$1:$L$43</definedName>
    <definedName name="_xlnm.Print_Area" localSheetId="5">'Table 1'!$A$1:$K$33</definedName>
    <definedName name="_xlnm.Print_Area" localSheetId="6">'Table 2'!$A$1:$K$31</definedName>
  </definedNames>
  <calcPr calcId="124519" fullCalcOnLoad="1"/>
</workbook>
</file>

<file path=xl/styles.xml><?xml version="1.0" encoding="utf-8"?>
<styleSheet xmlns="http://schemas.openxmlformats.org/spreadsheetml/2006/main">
  <numFmts count="13">
    <numFmt numFmtId="164" formatCode="mm/dd/yyyy"/>
    <numFmt numFmtId="165" formatCode="0;-0;0;[Red]@"/>
    <numFmt numFmtId="166" formatCode="0&quot;+&quot;00"/>
    <numFmt numFmtId="167" formatCode="0.000"/>
    <numFmt numFmtId="168" formatCode="0.00#"/>
    <numFmt numFmtId="169" formatCode="0.00#;-0.00#;0.00"/>
    <numFmt numFmtId="170" formatCode="#,##0.##"/>
    <numFmt numFmtId="171" formatCode="0.0"/>
    <numFmt numFmtId="172" formatCode="&quot;to &quot;0.0"/>
    <numFmt numFmtId="173" formatCode="0.00;-0.00;0.00;@"/>
    <numFmt numFmtId="174" formatCode="0.000;-0.000;0.000"/>
    <numFmt numFmtId="175" formatCode=".000"/>
    <numFmt numFmtId="176" formatCode="mm/dd/yy"/>
  </numFmts>
  <fonts count="30">
    <font>
      <name val="Calibri"/>
      <family val="2"/>
      <color theme="1"/>
      <sz val="11"/>
      <scheme val="minor"/>
    </font>
    <font>
      <name val="Arial"/>
      <b val="1"/>
      <color rgb="00FFFFFF"/>
      <sz val="20"/>
    </font>
    <font>
      <name val="Arial"/>
      <color rgb="00C9CDD3"/>
      <sz val="10.5"/>
    </font>
    <font>
      <name val="Arial"/>
      <color rgb="00F2B705"/>
      <sz val="9"/>
    </font>
    <font>
      <name val="Arial"/>
      <b val="1"/>
      <color rgb="001A1A1A"/>
      <sz val="10.5"/>
    </font>
    <font>
      <name val="Arial"/>
      <b val="1"/>
      <color rgb="009A7300"/>
      <sz val="10"/>
    </font>
    <font>
      <name val="Arial"/>
      <color rgb="001A1A1A"/>
      <sz val="10"/>
    </font>
    <font>
      <name val="Arial"/>
      <b val="1"/>
      <color rgb="004A4F55"/>
      <sz val="9"/>
    </font>
    <font>
      <name val="Arial"/>
      <b val="1"/>
      <color rgb="001A1A1A"/>
      <sz val="10"/>
    </font>
    <font>
      <name val="Arial"/>
      <b val="1"/>
      <color rgb="00B42318"/>
      <sz val="10"/>
    </font>
    <font>
      <name val="Arial"/>
      <b val="1"/>
      <color rgb="001E7B34"/>
      <sz val="10"/>
    </font>
    <font>
      <name val="Arial"/>
      <color rgb="004A4F55"/>
      <sz val="10"/>
    </font>
    <font>
      <name val="Arial"/>
      <b val="1"/>
      <color rgb="00FFFFFF"/>
      <sz val="12"/>
    </font>
    <font>
      <name val="Arial"/>
      <color rgb="00C9CDD3"/>
      <sz val="9.5"/>
    </font>
    <font>
      <name val="Arial"/>
      <color rgb="008A8F98"/>
      <sz val="8"/>
    </font>
    <font>
      <name val="Arial"/>
      <color rgb="001A1A1A"/>
      <sz val="8.5"/>
    </font>
    <font>
      <name val="Arial"/>
      <b val="1"/>
      <color rgb="001A1A1A"/>
      <sz val="13.5"/>
    </font>
    <font>
      <name val="Arial"/>
      <b val="1"/>
      <color rgb="001A1A1A"/>
      <sz val="9.5"/>
    </font>
    <font>
      <name val="Arial"/>
      <color rgb="004A4F55"/>
      <sz val="8"/>
    </font>
    <font>
      <name val="Arial"/>
      <color rgb="001A1A1A"/>
      <sz val="9"/>
    </font>
    <font>
      <name val="Arial"/>
      <b val="1"/>
      <color rgb="001A1A1A"/>
      <sz val="8"/>
    </font>
    <font>
      <name val="Arial"/>
      <b val="1"/>
      <color rgb="001A1A1A"/>
      <sz val="9"/>
    </font>
    <font>
      <name val="Arial"/>
      <color rgb="001A1A1A"/>
      <sz val="9.5"/>
    </font>
    <font>
      <name val="Arial"/>
      <b val="1"/>
      <color rgb="001A1A1A"/>
      <sz val="8.5"/>
    </font>
    <font>
      <name val="Arial"/>
      <b val="1"/>
      <color rgb="001A1A1A"/>
      <sz val="11"/>
    </font>
    <font>
      <name val="Arial"/>
      <color rgb="004A4F55"/>
      <sz val="6.5"/>
    </font>
    <font>
      <name val="Arial"/>
      <b val="1"/>
      <color rgb="009A7300"/>
      <sz val="9"/>
    </font>
    <font>
      <name val="Arial"/>
      <b val="1"/>
      <color rgb="001A1A1A"/>
      <sz val="12.5"/>
    </font>
    <font>
      <name val="Arial"/>
      <color rgb="001A1A1A"/>
      <sz val="8"/>
    </font>
    <font>
      <name val="Arial"/>
      <color rgb="004A4F55"/>
      <sz val="8.5"/>
    </font>
  </fonts>
  <fills count="8">
    <fill>
      <patternFill/>
    </fill>
    <fill>
      <patternFill patternType="gray125"/>
    </fill>
    <fill>
      <patternFill patternType="solid">
        <fgColor rgb="000B0C0E"/>
      </patternFill>
    </fill>
    <fill>
      <patternFill patternType="solid">
        <fgColor rgb="00F2B705"/>
      </patternFill>
    </fill>
    <fill>
      <patternFill patternType="solid">
        <fgColor rgb="00EDEDED"/>
      </patternFill>
    </fill>
    <fill>
      <patternFill patternType="solid">
        <fgColor rgb="00FFF6D9"/>
      </patternFill>
    </fill>
    <fill>
      <patternFill patternType="solid">
        <fgColor rgb="00FFFFFF"/>
      </patternFill>
    </fill>
    <fill>
      <patternFill patternType="solid">
        <fgColor rgb="00FDE2E1"/>
      </patternFill>
    </fill>
  </fills>
  <borders count="61">
    <border>
      <left/>
      <right/>
      <top/>
      <bottom/>
      <diagonal/>
    </border>
    <border>
      <bottom style="thin">
        <color rgb="00D5D8DC"/>
      </bottom>
    </border>
    <border>
      <left style="thick">
        <color rgb="00F2B705"/>
      </left>
      <bottom style="thin">
        <color rgb="00D5D8DC"/>
      </bottom>
    </border>
    <border>
      <bottom style="thin">
        <color rgb="00E3E5E8"/>
      </bottom>
    </border>
    <border>
      <left style="thin">
        <color rgb="00E8D9A8"/>
      </left>
      <right style="thin">
        <color rgb="00E8D9A8"/>
      </right>
      <top style="thin">
        <color rgb="00E8D9A8"/>
      </top>
      <bottom style="thin">
        <color rgb="00E8D9A8"/>
      </bottom>
    </border>
    <border>
      <left style="thin">
        <color rgb="00C9CDD3"/>
      </left>
      <right style="thin">
        <color rgb="00C9CDD3"/>
      </right>
      <top style="thin">
        <color rgb="00C9CDD3"/>
      </top>
      <bottom style="thin">
        <color rgb="00C9CDD3"/>
      </bottom>
    </border>
    <border>
      <left style="thin">
        <color rgb="00F2B8B5"/>
      </left>
      <right style="thin">
        <color rgb="00F2B8B5"/>
      </right>
      <top style="thin">
        <color rgb="00F2B8B5"/>
      </top>
      <bottom style="thin">
        <color rgb="00F2B8B5"/>
      </bottom>
    </border>
    <border>
      <left/>
      <right/>
      <top/>
      <bottom/>
    </border>
    <border>
      <left/>
      <top/>
      <bottom/>
    </border>
    <border>
      <top/>
      <bottom/>
    </border>
    <border>
      <right/>
      <top/>
      <bottom/>
    </border>
    <border>
      <bottom style="double">
        <color rgb="001A1A1A"/>
      </bottom>
    </border>
    <border>
      <left style="thin">
        <color rgb="009AA0A6"/>
      </left>
      <right style="thin">
        <color rgb="009AA0A6"/>
      </right>
      <top style="thin">
        <color rgb="009AA0A6"/>
      </top>
      <bottom style="thin">
        <color rgb="009AA0A6"/>
      </bottom>
    </border>
    <border>
      <left style="medium">
        <color rgb="001A1A1A"/>
      </left>
      <right style="thin">
        <color rgb="009AA0A6"/>
      </right>
      <top style="medium">
        <color rgb="001A1A1A"/>
      </top>
      <bottom style="thin">
        <color rgb="009AA0A6"/>
      </bottom>
    </border>
    <border>
      <left style="thin">
        <color rgb="009AA0A6"/>
      </left>
      <right style="thin">
        <color rgb="009AA0A6"/>
      </right>
      <top style="medium">
        <color rgb="001A1A1A"/>
      </top>
      <bottom style="thin">
        <color rgb="009AA0A6"/>
      </bottom>
    </border>
    <border>
      <left style="thin">
        <color rgb="009AA0A6"/>
      </left>
      <right style="medium">
        <color rgb="001A1A1A"/>
      </right>
      <top style="medium">
        <color rgb="001A1A1A"/>
      </top>
      <bottom style="thin">
        <color rgb="009AA0A6"/>
      </bottom>
    </border>
    <border>
      <left style="medium">
        <color rgb="001A1A1A"/>
      </left>
      <right style="thin">
        <color rgb="009AA0A6"/>
      </right>
      <top style="thin">
        <color rgb="009AA0A6"/>
      </top>
      <bottom style="thin">
        <color rgb="009AA0A6"/>
      </bottom>
    </border>
    <border>
      <left style="thin">
        <color rgb="009AA0A6"/>
      </left>
      <right style="medium">
        <color rgb="001A1A1A"/>
      </right>
      <top style="thin">
        <color rgb="009AA0A6"/>
      </top>
      <bottom style="thin">
        <color rgb="009AA0A6"/>
      </bottom>
    </border>
    <border>
      <left style="medium">
        <color rgb="001A1A1A"/>
      </left>
      <right style="thin">
        <color rgb="009AA0A6"/>
      </right>
      <top style="thin">
        <color rgb="009AA0A6"/>
      </top>
      <bottom style="medium">
        <color rgb="001A1A1A"/>
      </bottom>
    </border>
    <border>
      <left style="thin">
        <color rgb="009AA0A6"/>
      </left>
      <right style="thin">
        <color rgb="009AA0A6"/>
      </right>
      <top style="thin">
        <color rgb="009AA0A6"/>
      </top>
      <bottom style="medium">
        <color rgb="001A1A1A"/>
      </bottom>
    </border>
    <border>
      <left style="thin">
        <color rgb="009AA0A6"/>
      </left>
      <right style="medium">
        <color rgb="001A1A1A"/>
      </right>
      <top style="thin">
        <color rgb="009AA0A6"/>
      </top>
      <bottom style="medium">
        <color rgb="001A1A1A"/>
      </bottom>
    </border>
    <border>
      <left style="medium">
        <color rgb="001A1A1A"/>
      </left>
      <right/>
      <top style="medium">
        <color rgb="001A1A1A"/>
      </top>
      <bottom/>
    </border>
    <border>
      <left/>
      <right/>
      <top style="medium">
        <color rgb="001A1A1A"/>
      </top>
      <bottom/>
    </border>
    <border>
      <left/>
      <right style="medium">
        <color rgb="001A1A1A"/>
      </right>
      <top style="medium">
        <color rgb="001A1A1A"/>
      </top>
      <bottom/>
    </border>
    <border>
      <left style="medium">
        <color rgb="001A1A1A"/>
      </left>
      <top style="medium">
        <color rgb="001A1A1A"/>
      </top>
      <bottom style="thin">
        <color rgb="00D5D8DC"/>
      </bottom>
    </border>
    <border>
      <top style="medium">
        <color rgb="001A1A1A"/>
      </top>
      <bottom style="thin">
        <color rgb="00D5D8DC"/>
      </bottom>
    </border>
    <border>
      <right style="medium">
        <color rgb="001A1A1A"/>
      </right>
      <top style="medium">
        <color rgb="001A1A1A"/>
      </top>
      <bottom style="thin">
        <color rgb="00D5D8DC"/>
      </bottom>
    </border>
    <border>
      <left style="medium">
        <color rgb="001A1A1A"/>
      </left>
      <bottom style="thin">
        <color rgb="00D5D8DC"/>
      </bottom>
    </border>
    <border>
      <right style="medium">
        <color rgb="001A1A1A"/>
      </right>
      <bottom style="thin">
        <color rgb="00D5D8DC"/>
      </bottom>
    </border>
    <border>
      <left style="medium">
        <color rgb="001A1A1A"/>
      </left>
      <bottom style="medium">
        <color rgb="001A1A1A"/>
      </bottom>
    </border>
    <border>
      <bottom style="medium">
        <color rgb="001A1A1A"/>
      </bottom>
    </border>
    <border>
      <right style="medium">
        <color rgb="001A1A1A"/>
      </right>
      <bottom style="medium">
        <color rgb="001A1A1A"/>
      </bottom>
    </border>
    <border>
      <left style="medium">
        <color rgb="001A1A1A"/>
      </left>
      <right style="thin">
        <color rgb="009AA0A6"/>
      </right>
      <top style="thin">
        <color rgb="009AA0A6"/>
      </top>
      <bottom/>
    </border>
    <border>
      <left style="medium">
        <color rgb="001A1A1A"/>
      </left>
      <right style="thin">
        <color rgb="009AA0A6"/>
      </right>
      <top/>
      <bottom/>
    </border>
    <border>
      <left style="medium">
        <color rgb="001A1A1A"/>
      </left>
      <right style="thin">
        <color rgb="009AA0A6"/>
      </right>
      <top/>
      <bottom style="medium">
        <color rgb="001A1A1A"/>
      </bottom>
    </border>
    <border>
      <left style="thin">
        <color rgb="009AA0A6"/>
      </left>
      <top style="thin">
        <color rgb="009AA0A6"/>
      </top>
      <bottom style="thin">
        <color rgb="009AA0A6"/>
      </bottom>
    </border>
    <border>
      <right style="thin">
        <color rgb="009AA0A6"/>
      </right>
      <top style="thin">
        <color rgb="009AA0A6"/>
      </top>
      <bottom style="thin">
        <color rgb="009AA0A6"/>
      </bottom>
    </border>
    <border>
      <top style="thin">
        <color rgb="009AA0A6"/>
      </top>
      <bottom style="thin">
        <color rgb="009AA0A6"/>
      </bottom>
    </border>
    <border>
      <right style="medium">
        <color rgb="001A1A1A"/>
      </right>
      <top style="thin">
        <color rgb="009AA0A6"/>
      </top>
      <bottom style="thin">
        <color rgb="009AA0A6"/>
      </bottom>
    </border>
    <border>
      <left style="medium">
        <color rgb="001A1A1A"/>
      </left>
      <top style="thin">
        <color rgb="009AA0A6"/>
      </top>
      <bottom style="medium">
        <color rgb="001A1A1A"/>
      </bottom>
    </border>
    <border>
      <top style="thin">
        <color rgb="009AA0A6"/>
      </top>
      <bottom style="medium">
        <color rgb="001A1A1A"/>
      </bottom>
    </border>
    <border>
      <right style="thin">
        <color rgb="009AA0A6"/>
      </right>
      <top style="thin">
        <color rgb="009AA0A6"/>
      </top>
      <bottom style="medium">
        <color rgb="001A1A1A"/>
      </bottom>
    </border>
    <border>
      <left style="medium">
        <color rgb="001A1A1A"/>
      </left>
      <top style="thin">
        <color rgb="009AA0A6"/>
      </top>
      <bottom style="thin">
        <color rgb="009AA0A6"/>
      </bottom>
    </border>
    <border>
      <left style="medium">
        <color rgb="001A1A1A"/>
      </left>
      <right style="medium">
        <color rgb="001A1A1A"/>
      </right>
      <top style="medium">
        <color rgb="001A1A1A"/>
      </top>
      <bottom style="thin">
        <color rgb="009AA0A6"/>
      </bottom>
    </border>
    <border>
      <left style="medium">
        <color rgb="001A1A1A"/>
      </left>
      <top style="medium">
        <color rgb="001A1A1A"/>
      </top>
      <bottom style="thin">
        <color rgb="009AA0A6"/>
      </bottom>
    </border>
    <border>
      <top style="medium">
        <color rgb="001A1A1A"/>
      </top>
      <bottom style="thin">
        <color rgb="009AA0A6"/>
      </bottom>
    </border>
    <border>
      <right style="medium">
        <color rgb="001A1A1A"/>
      </right>
      <top style="medium">
        <color rgb="001A1A1A"/>
      </top>
      <bottom style="thin">
        <color rgb="009AA0A6"/>
      </bottom>
    </border>
    <border>
      <left style="thin">
        <color rgb="009AA0A6"/>
      </left>
      <top style="thin">
        <color rgb="009AA0A6"/>
      </top>
      <bottom style="medium">
        <color rgb="001A1A1A"/>
      </bottom>
    </border>
    <border>
      <right style="medium">
        <color rgb="001A1A1A"/>
      </right>
      <top style="thin">
        <color rgb="009AA0A6"/>
      </top>
      <bottom style="medium">
        <color rgb="001A1A1A"/>
      </bottom>
    </border>
    <border>
      <left style="medium">
        <color rgb="001A1A1A"/>
      </left>
      <right style="medium">
        <color rgb="001A1A1A"/>
      </right>
      <top style="medium">
        <color rgb="001A1A1A"/>
      </top>
      <bottom style="thin">
        <color rgb="00D5D8DC"/>
      </bottom>
    </border>
    <border>
      <left style="thin">
        <color rgb="009AA0A6"/>
      </left>
      <top style="medium">
        <color rgb="001A1A1A"/>
      </top>
      <bottom style="thin">
        <color rgb="009AA0A6"/>
      </bottom>
    </border>
    <border>
      <left style="medium">
        <color rgb="001A1A1A"/>
      </left>
      <right style="medium">
        <color rgb="001A1A1A"/>
      </right>
      <top style="thin">
        <color rgb="009AA0A6"/>
      </top>
      <bottom style="thin">
        <color rgb="009AA0A6"/>
      </bottom>
    </border>
    <border>
      <right style="thin">
        <color rgb="009AA0A6"/>
      </right>
      <top style="medium">
        <color rgb="001A1A1A"/>
      </top>
      <bottom style="thin">
        <color rgb="009AA0A6"/>
      </bottom>
    </border>
    <border>
      <left style="medium">
        <color rgb="001A1A1A"/>
      </left>
      <right style="medium">
        <color rgb="001A1A1A"/>
      </right>
      <bottom style="medium">
        <color rgb="001A1A1A"/>
      </bottom>
    </border>
    <border>
      <left style="medium">
        <color rgb="001A1A1A"/>
      </left>
      <right style="medium">
        <color rgb="001A1A1A"/>
      </right>
      <top style="medium">
        <color rgb="001A1A1A"/>
      </top>
      <bottom/>
    </border>
    <border>
      <left style="medium">
        <color rgb="001A1A1A"/>
      </left>
      <top style="medium">
        <color rgb="001A1A1A"/>
      </top>
      <bottom/>
    </border>
    <border>
      <top style="medium">
        <color rgb="001A1A1A"/>
      </top>
      <bottom/>
    </border>
    <border>
      <right style="medium">
        <color rgb="001A1A1A"/>
      </right>
      <top style="medium">
        <color rgb="001A1A1A"/>
      </top>
      <bottom/>
    </border>
    <border>
      <left style="medium">
        <color rgb="001A1A1A"/>
      </left>
      <right style="medium">
        <color rgb="001A1A1A"/>
      </right>
      <top style="thin">
        <color rgb="009AA0A6"/>
      </top>
      <bottom style="medium">
        <color rgb="001A1A1A"/>
      </bottom>
    </border>
    <border>
      <left style="medium">
        <color rgb="001A1A1A"/>
      </left>
      <right style="medium">
        <color rgb="001A1A1A"/>
      </right>
      <bottom style="thin">
        <color rgb="00D5D8DC"/>
      </bottom>
    </border>
    <border>
      <left style="medium">
        <color rgb="001A1A1A"/>
      </left>
      <right style="thin">
        <color rgb="009AA0A6"/>
      </right>
      <top/>
      <bottom style="thin">
        <color rgb="009AA0A6"/>
      </bottom>
    </border>
  </borders>
  <cellStyleXfs count="1">
    <xf numFmtId="0" fontId="0" fillId="0" borderId="0"/>
  </cellStyleXfs>
  <cellXfs count="155">
    <xf numFmtId="0" fontId="0" fillId="0" borderId="0" pivotButton="0" quotePrefix="0" xfId="0"/>
    <xf numFmtId="0" fontId="0" fillId="2" borderId="0" pivotButton="0" quotePrefix="0" xfId="0"/>
    <xf numFmtId="0" fontId="1" fillId="2" borderId="8" applyAlignment="1" pivotButton="0" quotePrefix="0" xfId="0">
      <alignment vertical="center"/>
    </xf>
    <xf numFmtId="0" fontId="0" fillId="0" borderId="9" pivotButton="0" quotePrefix="0" xfId="0"/>
    <xf numFmtId="0" fontId="0" fillId="0" borderId="10" pivotButton="0" quotePrefix="0" xfId="0"/>
    <xf numFmtId="0" fontId="2" fillId="2" borderId="8" applyAlignment="1" pivotButton="0" quotePrefix="0" xfId="0">
      <alignment vertical="center"/>
    </xf>
    <xf numFmtId="0" fontId="3" fillId="2" borderId="8" applyAlignment="1" pivotButton="0" quotePrefix="0" xfId="0">
      <alignment vertical="center"/>
    </xf>
    <xf numFmtId="0" fontId="0" fillId="3" borderId="0" pivotButton="0" quotePrefix="0" xfId="0"/>
    <xf numFmtId="0" fontId="4" fillId="0" borderId="2" applyAlignment="1" pivotButton="0" quotePrefix="0" xfId="0">
      <alignment vertical="center" indent="1"/>
    </xf>
    <xf numFmtId="0" fontId="0" fillId="0" borderId="1" pivotButton="0" quotePrefix="0" xfId="0"/>
    <xf numFmtId="0" fontId="5" fillId="0" borderId="0" applyAlignment="1" pivotButton="0" quotePrefix="0" xfId="0">
      <alignment horizontal="right" vertical="top"/>
    </xf>
    <xf numFmtId="0" fontId="6" fillId="0" borderId="8" applyAlignment="1" pivotButton="0" quotePrefix="0" xfId="0">
      <alignment vertical="top" wrapText="1" indent="1"/>
    </xf>
    <xf numFmtId="0" fontId="7" fillId="4" borderId="0" applyAlignment="1" pivotButton="0" quotePrefix="0" xfId="0">
      <alignment vertical="center" indent="1"/>
    </xf>
    <xf numFmtId="0" fontId="7" fillId="4" borderId="8" applyAlignment="1" pivotButton="0" quotePrefix="0" xfId="0">
      <alignment vertical="center" indent="1"/>
    </xf>
    <xf numFmtId="0" fontId="8" fillId="0" borderId="3" applyAlignment="1" pivotButton="0" quotePrefix="0" xfId="0">
      <alignment vertical="top" wrapText="1" indent="1"/>
    </xf>
    <xf numFmtId="0" fontId="6" fillId="0" borderId="3" applyAlignment="1" pivotButton="0" quotePrefix="0" xfId="0">
      <alignment vertical="top" wrapText="1" indent="1"/>
    </xf>
    <xf numFmtId="0" fontId="0" fillId="0" borderId="3" pivotButton="0" quotePrefix="0" xfId="0"/>
    <xf numFmtId="0" fontId="8" fillId="5" borderId="4" applyAlignment="1" pivotButton="0" quotePrefix="0" xfId="0">
      <alignment horizontal="center" vertical="center"/>
    </xf>
    <xf numFmtId="0" fontId="6" fillId="0" borderId="8" applyAlignment="1" pivotButton="0" quotePrefix="0" xfId="0">
      <alignment vertical="center" wrapText="1" indent="1"/>
    </xf>
    <xf numFmtId="0" fontId="8" fillId="6" borderId="5" applyAlignment="1" pivotButton="0" quotePrefix="0" xfId="0">
      <alignment horizontal="center" vertical="center"/>
    </xf>
    <xf numFmtId="0" fontId="9" fillId="7" borderId="6" applyAlignment="1" pivotButton="0" quotePrefix="0" xfId="0">
      <alignment horizontal="center" vertical="center"/>
    </xf>
    <xf numFmtId="0" fontId="10" fillId="6" borderId="5" applyAlignment="1" pivotButton="0" quotePrefix="0" xfId="0">
      <alignment horizontal="center" vertical="center"/>
    </xf>
    <xf numFmtId="0" fontId="11" fillId="0" borderId="8" applyAlignment="1" pivotButton="0" quotePrefix="0" xfId="0">
      <alignment vertical="top" wrapText="1" indent="1"/>
    </xf>
    <xf numFmtId="0" fontId="12" fillId="2" borderId="8" applyAlignment="1" pivotButton="0" quotePrefix="0" xfId="0">
      <alignment vertical="center"/>
    </xf>
    <xf numFmtId="0" fontId="13" fillId="2" borderId="8" applyAlignment="1" pivotButton="0" quotePrefix="0" xfId="0">
      <alignment vertical="center"/>
    </xf>
    <xf numFmtId="0" fontId="14" fillId="2" borderId="8" applyAlignment="1" pivotButton="0" quotePrefix="0" xfId="0">
      <alignment vertical="center" wrapText="1"/>
    </xf>
    <xf numFmtId="0" fontId="15" fillId="0" borderId="8" applyAlignment="1" pivotButton="0" quotePrefix="0" xfId="0">
      <alignment vertical="center"/>
    </xf>
    <xf numFmtId="0" fontId="16" fillId="0" borderId="8" applyAlignment="1" pivotButton="0" quotePrefix="0" xfId="0">
      <alignment vertical="center"/>
    </xf>
    <xf numFmtId="0" fontId="15" fillId="0" borderId="11" applyAlignment="1" pivotButton="0" quotePrefix="0" xfId="0">
      <alignment vertical="center"/>
    </xf>
    <xf numFmtId="0" fontId="0" fillId="0" borderId="11" pivotButton="0" quotePrefix="0" xfId="0"/>
    <xf numFmtId="0" fontId="17" fillId="4" borderId="44" applyAlignment="1" pivotButton="0" quotePrefix="0" xfId="0">
      <alignment horizontal="center" vertical="center" wrapText="1"/>
    </xf>
    <xf numFmtId="0" fontId="0" fillId="0" borderId="45" pivotButton="0" quotePrefix="0" xfId="0"/>
    <xf numFmtId="0" fontId="0" fillId="0" borderId="46" pivotButton="0" quotePrefix="0" xfId="0"/>
    <xf numFmtId="0" fontId="18" fillId="4" borderId="44" applyAlignment="1" pivotButton="0" quotePrefix="0" xfId="0">
      <alignment horizontal="left" vertical="center" indent="1"/>
    </xf>
    <xf numFmtId="0" fontId="0" fillId="0" borderId="52" pivotButton="0" quotePrefix="0" xfId="0"/>
    <xf numFmtId="0" fontId="18" fillId="4" borderId="50" applyAlignment="1" pivotButton="0" quotePrefix="0" xfId="0">
      <alignment horizontal="left" vertical="center" indent="1"/>
    </xf>
    <xf numFmtId="0" fontId="6" fillId="5" borderId="42" applyAlignment="1" applyProtection="1" pivotButton="0" quotePrefix="0" xfId="0">
      <alignment horizontal="left" vertical="center" shrinkToFit="1" indent="1"/>
      <protection locked="0" hidden="0"/>
    </xf>
    <xf numFmtId="0" fontId="0" fillId="5" borderId="37" applyProtection="1" pivotButton="0" quotePrefix="0" xfId="0">
      <protection locked="0" hidden="0"/>
    </xf>
    <xf numFmtId="0" fontId="0" fillId="5" borderId="38" applyProtection="1" pivotButton="0" quotePrefix="0" xfId="0">
      <protection locked="0" hidden="0"/>
    </xf>
    <xf numFmtId="0" fontId="0" fillId="5" borderId="36" applyProtection="1" pivotButton="0" quotePrefix="0" xfId="0">
      <protection locked="0" hidden="0"/>
    </xf>
    <xf numFmtId="0" fontId="6" fillId="5" borderId="35" applyAlignment="1" applyProtection="1" pivotButton="0" quotePrefix="0" xfId="0">
      <alignment horizontal="left" vertical="center" shrinkToFit="1" indent="1"/>
      <protection locked="0" hidden="0"/>
    </xf>
    <xf numFmtId="164" fontId="6" fillId="5" borderId="35" applyAlignment="1" applyProtection="1" pivotButton="0" quotePrefix="0" xfId="0">
      <alignment horizontal="center" vertical="center"/>
      <protection locked="0" hidden="0"/>
    </xf>
    <xf numFmtId="0" fontId="19" fillId="0" borderId="42" applyAlignment="1" pivotButton="0" quotePrefix="0" xfId="0">
      <alignment horizontal="left" vertical="center" indent="1"/>
    </xf>
    <xf numFmtId="0" fontId="0" fillId="0" borderId="36" pivotButton="0" quotePrefix="0" xfId="0"/>
    <xf numFmtId="0" fontId="6" fillId="5" borderId="39" applyAlignment="1" applyProtection="1" pivotButton="0" quotePrefix="0" xfId="0">
      <alignment horizontal="left" vertical="center" shrinkToFit="1" indent="1"/>
      <protection locked="0" hidden="0"/>
    </xf>
    <xf numFmtId="0" fontId="0" fillId="5" borderId="40" applyProtection="1" pivotButton="0" quotePrefix="0" xfId="0">
      <protection locked="0" hidden="0"/>
    </xf>
    <xf numFmtId="0" fontId="0" fillId="5" borderId="48" applyProtection="1" pivotButton="0" quotePrefix="0" xfId="0">
      <protection locked="0" hidden="0"/>
    </xf>
    <xf numFmtId="0" fontId="19" fillId="0" borderId="39" applyAlignment="1" pivotButton="0" quotePrefix="0" xfId="0">
      <alignment horizontal="left" vertical="center" indent="1"/>
    </xf>
    <xf numFmtId="0" fontId="0" fillId="0" borderId="41" pivotButton="0" quotePrefix="0" xfId="0"/>
    <xf numFmtId="2" fontId="6" fillId="5" borderId="47" applyAlignment="1" applyProtection="1" pivotButton="0" quotePrefix="0" xfId="0">
      <alignment horizontal="left" vertical="center" shrinkToFit="1" indent="1"/>
      <protection locked="0" hidden="0"/>
    </xf>
    <xf numFmtId="0" fontId="19" fillId="0" borderId="16" applyAlignment="1" pivotButton="0" quotePrefix="0" xfId="0">
      <alignment horizontal="left" vertical="center" indent="1"/>
    </xf>
    <xf numFmtId="164" fontId="6" fillId="5" borderId="35" applyAlignment="1" applyProtection="1" pivotButton="0" quotePrefix="0" xfId="0">
      <alignment horizontal="left" vertical="center" indent="1"/>
      <protection locked="0" hidden="0"/>
    </xf>
    <xf numFmtId="165" fontId="20" fillId="0" borderId="17" applyAlignment="1" pivotButton="0" quotePrefix="0" xfId="0">
      <alignment horizontal="center" vertical="center"/>
    </xf>
    <xf numFmtId="0" fontId="0" fillId="0" borderId="37" pivotButton="0" quotePrefix="0" xfId="0"/>
    <xf numFmtId="166" fontId="6" fillId="5" borderId="35" applyAlignment="1" applyProtection="1" pivotButton="0" quotePrefix="0" xfId="0">
      <alignment horizontal="center" vertical="center"/>
      <protection locked="0" hidden="0"/>
    </xf>
    <xf numFmtId="1" fontId="6" fillId="5" borderId="35" applyAlignment="1" applyProtection="1" pivotButton="0" quotePrefix="0" xfId="0">
      <alignment horizontal="left" vertical="center" shrinkToFit="1" indent="1"/>
      <protection locked="0" hidden="0"/>
    </xf>
    <xf numFmtId="165" fontId="6" fillId="0" borderId="35" applyAlignment="1" pivotButton="0" quotePrefix="0" xfId="0">
      <alignment horizontal="center" vertical="center"/>
    </xf>
    <xf numFmtId="0" fontId="0" fillId="0" borderId="38" pivotButton="0" quotePrefix="0" xfId="0"/>
    <xf numFmtId="0" fontId="6" fillId="5" borderId="35" applyAlignment="1" applyProtection="1" pivotButton="0" quotePrefix="0" xfId="0">
      <alignment horizontal="center" vertical="center"/>
      <protection locked="0" hidden="0"/>
    </xf>
    <xf numFmtId="0" fontId="18" fillId="0" borderId="39" applyAlignment="1" pivotButton="0" quotePrefix="0" xfId="0">
      <alignment horizontal="left" vertical="center" indent="1"/>
    </xf>
    <xf numFmtId="0" fontId="0" fillId="0" borderId="40" pivotButton="0" quotePrefix="0" xfId="0"/>
    <xf numFmtId="0" fontId="0" fillId="0" borderId="48" pivotButton="0" quotePrefix="0" xfId="0"/>
    <xf numFmtId="167" fontId="6" fillId="5" borderId="47" applyAlignment="1" applyProtection="1" pivotButton="0" quotePrefix="0" xfId="0">
      <alignment horizontal="center" vertical="center"/>
      <protection locked="0" hidden="0"/>
    </xf>
    <xf numFmtId="0" fontId="21" fillId="4" borderId="42" applyAlignment="1" pivotButton="0" quotePrefix="0" xfId="0">
      <alignment horizontal="center" vertical="center"/>
    </xf>
    <xf numFmtId="0" fontId="17" fillId="4" borderId="35" applyAlignment="1" pivotButton="0" quotePrefix="0" xfId="0">
      <alignment horizontal="center" vertical="center"/>
    </xf>
    <xf numFmtId="0" fontId="19" fillId="0" borderId="42" applyAlignment="1" pivotButton="0" quotePrefix="0" xfId="0">
      <alignment horizontal="center" vertical="center"/>
    </xf>
    <xf numFmtId="168" fontId="6" fillId="5" borderId="35" applyAlignment="1" applyProtection="1" pivotButton="0" quotePrefix="0" xfId="0">
      <alignment horizontal="center" vertical="center"/>
      <protection locked="0" hidden="0"/>
    </xf>
    <xf numFmtId="0" fontId="19" fillId="0" borderId="42" applyAlignment="1" pivotButton="0" quotePrefix="0" xfId="0">
      <alignment horizontal="center" vertical="center" wrapText="1"/>
    </xf>
    <xf numFmtId="169" fontId="6" fillId="0" borderId="35" applyAlignment="1" pivotButton="0" quotePrefix="0" xfId="0">
      <alignment horizontal="center" vertical="center"/>
    </xf>
    <xf numFmtId="0" fontId="19" fillId="0" borderId="39" applyAlignment="1" pivotButton="0" quotePrefix="0" xfId="0">
      <alignment horizontal="center" vertical="center"/>
    </xf>
    <xf numFmtId="169" fontId="8" fillId="0" borderId="47" applyAlignment="1" pivotButton="0" quotePrefix="0" xfId="0">
      <alignment horizontal="center" vertical="center"/>
    </xf>
    <xf numFmtId="0" fontId="17" fillId="4" borderId="55" applyAlignment="1" pivotButton="0" quotePrefix="0" xfId="0">
      <alignment horizontal="center" vertical="center" wrapText="1"/>
    </xf>
    <xf numFmtId="0" fontId="0" fillId="0" borderId="56" pivotButton="0" quotePrefix="0" xfId="0"/>
    <xf numFmtId="0" fontId="0" fillId="0" borderId="57" pivotButton="0" quotePrefix="0" xfId="0"/>
    <xf numFmtId="0" fontId="15" fillId="0" borderId="18" applyAlignment="1" pivotButton="0" quotePrefix="0" xfId="0">
      <alignment horizontal="left" vertical="center" indent="1"/>
    </xf>
    <xf numFmtId="170" fontId="6" fillId="5" borderId="47" applyAlignment="1" applyProtection="1" pivotButton="0" quotePrefix="0" xfId="0">
      <alignment horizontal="center" vertical="center"/>
      <protection locked="0" hidden="0"/>
    </xf>
    <xf numFmtId="0" fontId="0" fillId="5" borderId="41" applyProtection="1" pivotButton="0" quotePrefix="0" xfId="0">
      <protection locked="0" hidden="0"/>
    </xf>
    <xf numFmtId="0" fontId="15" fillId="0" borderId="47" applyAlignment="1" pivotButton="0" quotePrefix="0" xfId="0">
      <alignment horizontal="right" vertical="center" indent="1"/>
    </xf>
    <xf numFmtId="165" fontId="8" fillId="5" borderId="19" applyAlignment="1" applyProtection="1" pivotButton="0" quotePrefix="0" xfId="0">
      <alignment horizontal="center" vertical="center"/>
      <protection locked="0" hidden="0"/>
    </xf>
    <xf numFmtId="171" fontId="6" fillId="5" borderId="19" applyAlignment="1" applyProtection="1" pivotButton="0" quotePrefix="0" xfId="0">
      <alignment horizontal="center" vertical="center"/>
      <protection locked="0" hidden="0"/>
    </xf>
    <xf numFmtId="172" fontId="6" fillId="5" borderId="19" applyAlignment="1" applyProtection="1" pivotButton="0" quotePrefix="0" xfId="0">
      <alignment horizontal="center" vertical="center"/>
      <protection locked="0" hidden="0"/>
    </xf>
    <xf numFmtId="0" fontId="15" fillId="0" borderId="19" applyAlignment="1" pivotButton="0" quotePrefix="0" xfId="0">
      <alignment horizontal="right" vertical="center" indent="1"/>
    </xf>
    <xf numFmtId="0" fontId="8" fillId="0" borderId="20" applyAlignment="1" pivotButton="0" quotePrefix="0" xfId="0">
      <alignment horizontal="center" vertical="center"/>
    </xf>
    <xf numFmtId="0" fontId="22" fillId="5" borderId="24" applyAlignment="1" applyProtection="1" pivotButton="0" quotePrefix="0" xfId="0">
      <alignment horizontal="left" vertical="center" shrinkToFit="1" indent="1"/>
      <protection locked="0" hidden="0"/>
    </xf>
    <xf numFmtId="0" fontId="0" fillId="5" borderId="25" applyProtection="1" pivotButton="0" quotePrefix="0" xfId="0">
      <protection locked="0" hidden="0"/>
    </xf>
    <xf numFmtId="0" fontId="0" fillId="5" borderId="26" applyProtection="1" pivotButton="0" quotePrefix="0" xfId="0">
      <protection locked="0" hidden="0"/>
    </xf>
    <xf numFmtId="0" fontId="22" fillId="5" borderId="27" applyAlignment="1" applyProtection="1" pivotButton="0" quotePrefix="0" xfId="0">
      <alignment horizontal="left" vertical="center" shrinkToFit="1" indent="1"/>
      <protection locked="0" hidden="0"/>
    </xf>
    <xf numFmtId="0" fontId="0" fillId="5" borderId="1" applyProtection="1" pivotButton="0" quotePrefix="0" xfId="0">
      <protection locked="0" hidden="0"/>
    </xf>
    <xf numFmtId="0" fontId="0" fillId="5" borderId="28" applyProtection="1" pivotButton="0" quotePrefix="0" xfId="0">
      <protection locked="0" hidden="0"/>
    </xf>
    <xf numFmtId="0" fontId="22" fillId="5" borderId="29" applyAlignment="1" applyProtection="1" pivotButton="0" quotePrefix="0" xfId="0">
      <alignment horizontal="left" vertical="center" shrinkToFit="1" indent="1"/>
      <protection locked="0" hidden="0"/>
    </xf>
    <xf numFmtId="0" fontId="0" fillId="5" borderId="30" applyProtection="1" pivotButton="0" quotePrefix="0" xfId="0">
      <protection locked="0" hidden="0"/>
    </xf>
    <xf numFmtId="0" fontId="0" fillId="5" borderId="31" applyProtection="1" pivotButton="0" quotePrefix="0" xfId="0">
      <protection locked="0" hidden="0"/>
    </xf>
    <xf numFmtId="0" fontId="17" fillId="4" borderId="44" applyAlignment="1" pivotButton="0" quotePrefix="0" xfId="0">
      <alignment horizontal="center" vertical="center"/>
    </xf>
    <xf numFmtId="0" fontId="17" fillId="4" borderId="50" applyAlignment="1" pivotButton="0" quotePrefix="0" xfId="0">
      <alignment horizontal="center" vertical="center"/>
    </xf>
    <xf numFmtId="0" fontId="21" fillId="4" borderId="14" applyAlignment="1" pivotButton="0" quotePrefix="0" xfId="0">
      <alignment horizontal="right" vertical="center" indent="1"/>
    </xf>
    <xf numFmtId="0" fontId="8" fillId="0" borderId="14" applyAlignment="1" pivotButton="0" quotePrefix="0" xfId="0">
      <alignment horizontal="center" vertical="center"/>
    </xf>
    <xf numFmtId="0" fontId="8" fillId="5" borderId="50" applyAlignment="1" applyProtection="1" pivotButton="0" quotePrefix="0" xfId="0">
      <alignment horizontal="center" vertical="center"/>
      <protection locked="0" hidden="0"/>
    </xf>
    <xf numFmtId="0" fontId="0" fillId="5" borderId="45" applyProtection="1" pivotButton="0" quotePrefix="0" xfId="0">
      <protection locked="0" hidden="0"/>
    </xf>
    <xf numFmtId="0" fontId="0" fillId="5" borderId="46" applyProtection="1" pivotButton="0" quotePrefix="0" xfId="0">
      <protection locked="0" hidden="0"/>
    </xf>
    <xf numFmtId="167" fontId="6" fillId="0" borderId="12" applyAlignment="1" pivotButton="0" quotePrefix="0" xfId="0">
      <alignment horizontal="center" vertical="center"/>
    </xf>
    <xf numFmtId="167" fontId="6" fillId="0" borderId="17" applyAlignment="1" pivotButton="0" quotePrefix="0" xfId="0">
      <alignment horizontal="center" vertical="center"/>
    </xf>
    <xf numFmtId="167" fontId="6" fillId="0" borderId="19" applyAlignment="1" pivotButton="0" quotePrefix="0" xfId="0">
      <alignment horizontal="center" vertical="center"/>
    </xf>
    <xf numFmtId="167" fontId="6" fillId="0" borderId="20" applyAlignment="1" pivotButton="0" quotePrefix="0" xfId="0">
      <alignment horizontal="center" vertical="center"/>
    </xf>
    <xf numFmtId="0" fontId="8" fillId="4" borderId="14" applyAlignment="1" pivotButton="0" quotePrefix="0" xfId="0">
      <alignment horizontal="center" vertical="center"/>
    </xf>
    <xf numFmtId="0" fontId="8" fillId="4" borderId="15" applyAlignment="1" pivotButton="0" quotePrefix="0" xfId="0">
      <alignment horizontal="center" vertical="center"/>
    </xf>
    <xf numFmtId="0" fontId="19" fillId="0" borderId="42" applyAlignment="1" pivotButton="0" quotePrefix="0" xfId="0">
      <alignment horizontal="left" vertical="center" wrapText="1" indent="1"/>
    </xf>
    <xf numFmtId="1" fontId="6" fillId="0" borderId="12" applyAlignment="1" pivotButton="0" quotePrefix="0" xfId="0">
      <alignment horizontal="center" vertical="center"/>
    </xf>
    <xf numFmtId="1" fontId="6" fillId="0" borderId="17" applyAlignment="1" pivotButton="0" quotePrefix="0" xfId="0">
      <alignment horizontal="center" vertical="center"/>
    </xf>
    <xf numFmtId="166" fontId="6" fillId="0" borderId="12" applyAlignment="1" pivotButton="0" quotePrefix="0" xfId="0">
      <alignment horizontal="center" vertical="center"/>
    </xf>
    <xf numFmtId="166" fontId="6" fillId="0" borderId="17" applyAlignment="1" pivotButton="0" quotePrefix="0" xfId="0">
      <alignment horizontal="center" vertical="center"/>
    </xf>
    <xf numFmtId="0" fontId="19" fillId="0" borderId="32" applyAlignment="1" pivotButton="0" quotePrefix="0" xfId="0">
      <alignment horizontal="left" vertical="center" indent="1"/>
    </xf>
    <xf numFmtId="0" fontId="15" fillId="0" borderId="17" applyAlignment="1" pivotButton="0" quotePrefix="0" xfId="0">
      <alignment horizontal="center" vertical="center"/>
    </xf>
    <xf numFmtId="2" fontId="6" fillId="5" borderId="12" applyAlignment="1" applyProtection="1" pivotButton="0" quotePrefix="0" xfId="0">
      <alignment horizontal="center" vertical="center"/>
      <protection locked="0" hidden="0"/>
    </xf>
    <xf numFmtId="2" fontId="6" fillId="5" borderId="17" applyAlignment="1" applyProtection="1" pivotButton="0" quotePrefix="0" xfId="0">
      <alignment horizontal="center" vertical="center"/>
      <protection locked="0" hidden="0"/>
    </xf>
    <xf numFmtId="0" fontId="0" fillId="0" borderId="33" pivotButton="0" quotePrefix="0" xfId="0"/>
    <xf numFmtId="0" fontId="0" fillId="0" borderId="34" pivotButton="0" quotePrefix="0" xfId="0"/>
    <xf numFmtId="0" fontId="23" fillId="0" borderId="20" applyAlignment="1" pivotButton="0" quotePrefix="0" xfId="0">
      <alignment horizontal="center" vertical="center"/>
    </xf>
    <xf numFmtId="173" fontId="8" fillId="0" borderId="19" applyAlignment="1" pivotButton="0" quotePrefix="0" xfId="0">
      <alignment horizontal="center" vertical="center"/>
    </xf>
    <xf numFmtId="173" fontId="8" fillId="0" borderId="20" applyAlignment="1" pivotButton="0" quotePrefix="0" xfId="0">
      <alignment horizontal="center" vertical="center"/>
    </xf>
    <xf numFmtId="0" fontId="19" fillId="0" borderId="44" applyAlignment="1" pivotButton="0" quotePrefix="0" xfId="0">
      <alignment horizontal="left" vertical="center" indent="1"/>
    </xf>
    <xf numFmtId="173" fontId="8" fillId="0" borderId="50" applyAlignment="1" pivotButton="0" quotePrefix="0" xfId="0">
      <alignment horizontal="center" vertical="center"/>
    </xf>
    <xf numFmtId="0" fontId="6" fillId="0" borderId="50" applyAlignment="1" pivotButton="0" quotePrefix="0" xfId="0">
      <alignment horizontal="center" vertical="center"/>
    </xf>
    <xf numFmtId="2" fontId="6" fillId="5" borderId="35" applyAlignment="1" applyProtection="1" pivotButton="0" quotePrefix="0" xfId="0">
      <alignment horizontal="center" vertical="center"/>
      <protection locked="0" hidden="0"/>
    </xf>
    <xf numFmtId="0" fontId="6" fillId="0" borderId="35" applyAlignment="1" pivotButton="0" quotePrefix="0" xfId="0">
      <alignment horizontal="center" vertical="center"/>
    </xf>
    <xf numFmtId="174" fontId="6" fillId="5" borderId="35" applyAlignment="1" applyProtection="1" pivotButton="0" quotePrefix="0" xfId="0">
      <alignment horizontal="center" vertical="center"/>
      <protection locked="0" hidden="0"/>
    </xf>
    <xf numFmtId="167" fontId="6" fillId="0" borderId="35" applyAlignment="1" pivotButton="0" quotePrefix="0" xfId="0">
      <alignment horizontal="center" vertical="center"/>
    </xf>
    <xf numFmtId="2" fontId="8" fillId="0" borderId="47" applyAlignment="1" pivotButton="0" quotePrefix="0" xfId="0">
      <alignment horizontal="center" vertical="center"/>
    </xf>
    <xf numFmtId="171" fontId="24" fillId="0" borderId="47" applyAlignment="1" pivotButton="0" quotePrefix="0" xfId="0">
      <alignment horizontal="center" vertical="center"/>
    </xf>
    <xf numFmtId="0" fontId="25" fillId="0" borderId="8" applyAlignment="1" pivotButton="0" quotePrefix="0" xfId="0">
      <alignment horizontal="center" vertical="center" wrapText="1"/>
    </xf>
    <xf numFmtId="0" fontId="14" fillId="0" borderId="0" pivotButton="0" quotePrefix="0" xfId="0"/>
    <xf numFmtId="0" fontId="26" fillId="0" borderId="8" applyAlignment="1" pivotButton="0" quotePrefix="0" xfId="0">
      <alignment horizontal="right" vertical="center"/>
    </xf>
    <xf numFmtId="0" fontId="15" fillId="0" borderId="30" applyAlignment="1" pivotButton="0" quotePrefix="0" xfId="0">
      <alignment vertical="center"/>
    </xf>
    <xf numFmtId="0" fontId="0" fillId="0" borderId="30" pivotButton="0" quotePrefix="0" xfId="0"/>
    <xf numFmtId="0" fontId="27" fillId="0" borderId="8" applyAlignment="1" pivotButton="0" quotePrefix="0" xfId="0">
      <alignment horizontal="center" vertical="center"/>
    </xf>
    <xf numFmtId="2" fontId="6" fillId="5" borderId="47" applyAlignment="1" applyProtection="1" pivotButton="0" quotePrefix="0" xfId="0">
      <alignment horizontal="center" vertical="center"/>
      <protection locked="0" hidden="0"/>
    </xf>
    <xf numFmtId="1" fontId="6" fillId="5" borderId="12" applyAlignment="1" applyProtection="1" pivotButton="0" quotePrefix="0" xfId="0">
      <alignment horizontal="center" vertical="center"/>
      <protection locked="0" hidden="0"/>
    </xf>
    <xf numFmtId="1" fontId="6" fillId="5" borderId="17" applyAlignment="1" applyProtection="1" pivotButton="0" quotePrefix="0" xfId="0">
      <alignment horizontal="center" vertical="center"/>
      <protection locked="0" hidden="0"/>
    </xf>
    <xf numFmtId="0" fontId="19" fillId="0" borderId="60" applyAlignment="1" pivotButton="0" quotePrefix="0" xfId="0">
      <alignment horizontal="left" vertical="center" indent="1"/>
    </xf>
    <xf numFmtId="175" fontId="6" fillId="0" borderId="12" applyAlignment="1" pivotButton="0" quotePrefix="0" xfId="0">
      <alignment horizontal="center" vertical="center"/>
    </xf>
    <xf numFmtId="175" fontId="6" fillId="0" borderId="17" applyAlignment="1" pivotButton="0" quotePrefix="0" xfId="0">
      <alignment horizontal="center" vertical="center"/>
    </xf>
    <xf numFmtId="0" fontId="0" fillId="0" borderId="60" pivotButton="0" quotePrefix="0" xfId="0"/>
    <xf numFmtId="0" fontId="28" fillId="0" borderId="33" applyAlignment="1" pivotButton="0" quotePrefix="0" xfId="0">
      <alignment horizontal="left" vertical="center" indent="1"/>
    </xf>
    <xf numFmtId="2" fontId="6" fillId="5" borderId="50" applyAlignment="1" applyProtection="1" pivotButton="0" quotePrefix="0" xfId="0">
      <alignment horizontal="center" vertical="center"/>
      <protection locked="0" hidden="0"/>
    </xf>
    <xf numFmtId="167" fontId="6" fillId="5" borderId="12" applyAlignment="1" applyProtection="1" pivotButton="0" quotePrefix="0" xfId="0">
      <alignment horizontal="center" vertical="center"/>
      <protection locked="0" hidden="0"/>
    </xf>
    <xf numFmtId="176" fontId="19" fillId="5" borderId="17" applyAlignment="1" applyProtection="1" pivotButton="0" quotePrefix="0" xfId="0">
      <alignment horizontal="center" vertical="center" shrinkToFit="1"/>
      <protection locked="0" hidden="0"/>
    </xf>
    <xf numFmtId="0" fontId="24" fillId="0" borderId="0" pivotButton="0" quotePrefix="0" xfId="0"/>
    <xf numFmtId="0" fontId="29" fillId="0" borderId="8" applyAlignment="1" pivotButton="0" quotePrefix="0" xfId="0">
      <alignment vertical="top" wrapText="1"/>
    </xf>
    <xf numFmtId="0" fontId="23" fillId="4" borderId="44" applyAlignment="1" pivotButton="0" quotePrefix="0" xfId="0">
      <alignment horizontal="center" vertical="center"/>
    </xf>
    <xf numFmtId="0" fontId="18" fillId="4" borderId="16" applyAlignment="1" pivotButton="0" quotePrefix="0" xfId="0">
      <alignment horizontal="center" vertical="center"/>
    </xf>
    <xf numFmtId="0" fontId="18" fillId="4" borderId="17" applyAlignment="1" pivotButton="0" quotePrefix="0" xfId="0">
      <alignment horizontal="center" vertical="center"/>
    </xf>
    <xf numFmtId="167" fontId="22" fillId="0" borderId="16" applyAlignment="1" pivotButton="0" quotePrefix="0" xfId="0">
      <alignment horizontal="center" vertical="center"/>
    </xf>
    <xf numFmtId="167" fontId="22" fillId="0" borderId="17" applyAlignment="1" pivotButton="0" quotePrefix="0" xfId="0">
      <alignment horizontal="center" vertical="center"/>
    </xf>
    <xf numFmtId="167" fontId="22" fillId="0" borderId="18" applyAlignment="1" pivotButton="0" quotePrefix="0" xfId="0">
      <alignment horizontal="center" vertical="center"/>
    </xf>
    <xf numFmtId="167" fontId="22" fillId="0" borderId="20" applyAlignment="1" pivotButton="0" quotePrefix="0" xfId="0">
      <alignment horizontal="center" vertical="center"/>
    </xf>
    <xf numFmtId="0" fontId="21" fillId="0" borderId="0" pivotButton="0" quotePrefix="0" xfId="0"/>
  </cellXfs>
  <cellStyles count="1">
    <cellStyle name="Normal" xfId="0" builtinId="0" hidden="0"/>
  </cellStyles>
  <dxfs count="2">
    <dxf>
      <font>
        <b val="1"/>
        <color rgb="00B42318"/>
      </font>
      <fill>
        <patternFill patternType="solid">
          <fgColor rgb="00FDE2E1"/>
          <bgColor rgb="00FDE2E1"/>
        </patternFill>
      </fill>
    </dxf>
    <dxf>
      <font>
        <b val="1"/>
        <color rgb="001E7B3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2</col>
      <colOff>66675</colOff>
      <row>1</row>
      <rowOff>66675</rowOff>
    </from>
    <ext cx="1495425" cy="1714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F2B705"/>
    <outlinePr summaryBelow="1" summaryRight="1"/>
    <pageSetUpPr fitToPage="1"/>
  </sheetPr>
  <dimension ref="A1:G76"/>
  <sheetViews>
    <sheetView showGridLines="0" showRowColHeaders="0" workbookViewId="0">
      <selection activeCell="A1" sqref="A1"/>
    </sheetView>
  </sheetViews>
  <sheetFormatPr baseColWidth="8" defaultRowHeight="15"/>
  <cols>
    <col width="3" customWidth="1" min="1" max="1"/>
    <col width="4.5" customWidth="1" min="2" max="2"/>
    <col width="24" customWidth="1" min="3" max="3"/>
    <col width="24" customWidth="1" min="4" max="4"/>
    <col width="24" customWidth="1" min="5" max="5"/>
    <col width="24" customWidth="1" min="6" max="6"/>
    <col width="3" customWidth="1" min="7" max="7"/>
  </cols>
  <sheetData>
    <row r="1" ht="16" customHeight="1">
      <c r="A1" s="1" t="n"/>
      <c r="B1" s="1" t="n"/>
      <c r="C1" s="1" t="n"/>
      <c r="D1" s="1" t="n"/>
      <c r="E1" s="1" t="n"/>
      <c r="F1" s="1" t="n"/>
      <c r="G1" s="1" t="n"/>
    </row>
    <row r="2" ht="26" customHeight="1">
      <c r="A2" s="1" t="n"/>
      <c r="B2" s="1" t="n"/>
      <c r="C2" s="1" t="n"/>
      <c r="D2" s="1" t="n"/>
      <c r="E2" s="1" t="n"/>
      <c r="F2" s="1" t="n"/>
      <c r="G2" s="1" t="n"/>
    </row>
    <row r="3" ht="32" customHeight="1">
      <c r="A3" s="1" t="n"/>
      <c r="B3" s="1" t="n"/>
      <c r="C3" s="2" t="inlineStr">
        <is>
          <t>CT 375 / TL-3112 Workbook</t>
        </is>
      </c>
      <c r="D3" s="3" t="n"/>
      <c r="E3" s="3" t="n"/>
      <c r="F3" s="4" t="n"/>
      <c r="G3" s="1" t="n"/>
    </row>
    <row r="4" ht="18" customHeight="1">
      <c r="A4" s="1" t="n"/>
      <c r="B4" s="1" t="n"/>
      <c r="C4" s="5" t="inlineStr">
        <is>
          <t>Density and relative compaction of in-place hot mix asphalt, California Test 375</t>
        </is>
      </c>
      <c r="D4" s="3" t="n"/>
      <c r="E4" s="3" t="n"/>
      <c r="F4" s="4" t="n"/>
      <c r="G4" s="1" t="n"/>
    </row>
    <row r="5" ht="18" customHeight="1">
      <c r="A5" s="1" t="n"/>
      <c r="B5" s="1" t="n"/>
      <c r="C5" s="6" t="inlineStr">
        <is>
          <t>Version 1.2  ·  October 2026  ·  bunkerinspections.com</t>
        </is>
      </c>
      <c r="D5" s="3" t="n"/>
      <c r="E5" s="3" t="n"/>
      <c r="F5" s="4" t="n"/>
      <c r="G5" s="1" t="n"/>
    </row>
    <row r="6" ht="16" customHeight="1">
      <c r="A6" s="1" t="n"/>
      <c r="B6" s="1" t="n"/>
      <c r="C6" s="1" t="n"/>
      <c r="D6" s="1" t="n"/>
      <c r="E6" s="1" t="n"/>
      <c r="F6" s="1" t="n"/>
      <c r="G6" s="1" t="n"/>
    </row>
    <row r="7" ht="4" customHeight="1">
      <c r="A7" s="7" t="n"/>
      <c r="B7" s="7" t="n"/>
      <c r="C7" s="7" t="n"/>
      <c r="D7" s="7" t="n"/>
      <c r="E7" s="7" t="n"/>
      <c r="F7" s="7" t="n"/>
      <c r="G7" s="7" t="n"/>
    </row>
    <row r="8" ht="16" customHeight="1"/>
    <row r="9" ht="22" customHeight="1">
      <c r="C9" s="8" t="inlineStr">
        <is>
          <t>START HERE</t>
        </is>
      </c>
      <c r="D9" s="9" t="n"/>
      <c r="E9" s="9" t="n"/>
      <c r="F9" s="9" t="n"/>
    </row>
    <row r="10" ht="5" customHeight="1"/>
    <row r="11" ht="33" customHeight="1">
      <c r="B11" s="10" t="n">
        <v>1</v>
      </c>
      <c r="C11" s="11" t="inlineStr">
        <is>
          <t>Open the TL-3112 tab. It is Caltrans form DOT TL-3112 (REV 08/2026), laid out line for line, and it does every calculation for you.</t>
        </is>
      </c>
      <c r="D11" s="3" t="n"/>
      <c r="E11" s="3" t="n"/>
      <c r="F11" s="4" t="n"/>
    </row>
    <row r="12" ht="47" customHeight="1">
      <c r="B12" s="10" t="n">
        <v>2</v>
      </c>
      <c r="C12" s="11" t="inlineStr">
        <is>
          <t>Type in the shaded cells; everything else is calculated and locked. Tab or Enter moves to the next shaded cell. Project lines and field notes are ruled lines: press Enter for the next line, no special keys.</t>
        </is>
      </c>
      <c r="D12" s="3" t="n"/>
      <c r="E12" s="3" t="n"/>
      <c r="F12" s="4" t="n"/>
    </row>
    <row r="13" ht="33" customHeight="1">
      <c r="B13" s="10" t="n">
        <v>3</v>
      </c>
      <c r="C13" s="11" t="inlineStr">
        <is>
          <t>When the test is done, export the tab to PDF (steps below). It comes out as one Letter page, exactly like the Caltrans form, with nothing of ours on it.</t>
        </is>
      </c>
      <c r="D13" s="3" t="n"/>
      <c r="E13" s="3" t="n"/>
      <c r="F13" s="4" t="n"/>
    </row>
    <row r="14" ht="16" customHeight="1"/>
    <row r="15" ht="22" customHeight="1">
      <c r="C15" s="8" t="inlineStr">
        <is>
          <t>WHAT'S IN THIS WORKBOOK</t>
        </is>
      </c>
      <c r="D15" s="9" t="n"/>
      <c r="E15" s="9" t="n"/>
      <c r="F15" s="9" t="n"/>
    </row>
    <row r="16" ht="5" customHeight="1"/>
    <row r="17" ht="19" customHeight="1">
      <c r="C17" s="12" t="inlineStr">
        <is>
          <t>Tab</t>
        </is>
      </c>
      <c r="D17" s="13" t="inlineStr">
        <is>
          <t>What it is for</t>
        </is>
      </c>
      <c r="E17" s="3" t="n"/>
      <c r="F17" s="4" t="n"/>
    </row>
    <row r="18" ht="48" customHeight="1">
      <c r="C18" s="14" t="inlineStr">
        <is>
          <t>TL-3112</t>
        </is>
      </c>
      <c r="D18" s="15" t="inlineStr">
        <is>
          <t>The current form, DOT TL-3112 (REV 08/2026): density gauge readings, the core correlation worksheet, and relative density against Gmm. Use this one unless your contract says otherwise.</t>
        </is>
      </c>
      <c r="E18" s="16" t="n"/>
      <c r="F18" s="16" t="n"/>
    </row>
    <row r="19" ht="34" customHeight="1">
      <c r="C19" s="14" t="inlineStr">
        <is>
          <t>Example</t>
        </is>
      </c>
      <c r="D19" s="15" t="inlineStr">
        <is>
          <t>The TL-3112 tab with a complete test filled in, so you can see every line worked out.</t>
        </is>
      </c>
      <c r="E19" s="16" t="n"/>
      <c r="F19" s="16" t="n"/>
    </row>
    <row r="20" ht="62" customHeight="1">
      <c r="C20" s="14" t="inlineStr">
        <is>
          <t>TL-3112 (2004)</t>
        </is>
      </c>
      <c r="D20" s="15" t="inlineStr">
        <is>
          <t>The previous form, TL-3112 (Rev. 02/04): nuclear count ratios and relative compaction against TMD (LTMD or correlated FTMD). For contracts and local-agency specs that still call for it, and for CT 375 certification practice.</t>
        </is>
      </c>
      <c r="E20" s="16" t="n"/>
      <c r="F20" s="16" t="n"/>
    </row>
    <row r="21" ht="62" customHeight="1">
      <c r="C21" s="14" t="inlineStr">
        <is>
          <t>Example (2004)</t>
        </is>
      </c>
      <c r="D21" s="15" t="inlineStr">
        <is>
          <t>The worked example printed on page 15 of California Test 375, reproduced; every result matches the published page. (The page prints a count ratio of .221 for site 6a; 598 / 2662 is .225. It's a typo, and nothing else uses it.)</t>
        </is>
      </c>
      <c r="E21" s="16" t="n"/>
      <c r="F21" s="16" t="n"/>
    </row>
    <row r="22" ht="34" customHeight="1">
      <c r="C22" s="14" t="inlineStr">
        <is>
          <t>Table 1, Table 2</t>
        </is>
      </c>
      <c r="D22" s="15" t="inlineStr">
        <is>
          <t>CT 375's random number tables. The forms read from them; nothing to type here.</t>
        </is>
      </c>
      <c r="E22" s="16" t="n"/>
      <c r="F22" s="16" t="n"/>
    </row>
    <row r="23" ht="16" customHeight="1"/>
    <row r="24" ht="22" customHeight="1">
      <c r="C24" s="8" t="inlineStr">
        <is>
          <t>FILLING IN TL-3112, LINE BY LINE</t>
        </is>
      </c>
      <c r="D24" s="9" t="n"/>
      <c r="E24" s="9" t="n"/>
      <c r="F24" s="9" t="n"/>
    </row>
    <row r="25" ht="5" customHeight="1"/>
    <row r="26" ht="33" customHeight="1">
      <c r="B26" s="10" t="n">
        <v>1</v>
      </c>
      <c r="C26" s="11" t="inlineStr">
        <is>
          <t>Project, Density Gage and Test Area Limits. Stations can be typed 69859 or 698+59. Enter Gmm (AASHTO T 209) on line F; line R repeats it.</t>
        </is>
      </c>
      <c r="D26" s="3" t="n"/>
      <c r="E26" s="3" t="n"/>
      <c r="F26" s="4" t="n"/>
    </row>
    <row r="27" ht="47" customHeight="1">
      <c r="B27" s="10" t="n">
        <v>2</v>
      </c>
      <c r="C27" s="11" t="inlineStr">
        <is>
          <t>Core Correlation Worksheet. Enter the core and gauge density at each location; the difference, total and average (N) are calculated. Correlation done on an earlier day? Leave the worksheet empty and type the factor on line N.</t>
        </is>
      </c>
      <c r="D27" s="3" t="n"/>
      <c r="E27" s="3" t="n"/>
      <c r="F27" s="4" t="n"/>
    </row>
    <row r="28" ht="61" customHeight="1">
      <c r="B28" s="10" t="n">
        <v>3</v>
      </c>
      <c r="C28" s="11" t="inlineStr">
        <is>
          <t>Field notes, first line. Enter the HMA tons in the test area: the number of test sites follows CT 375 (1 per 50 t, at least 5, 10 for 451 to 500 t); type over it to set your own. The spec range starts at 91.0 to 97.0 % (2025 Standard Specifications, Type A HMA); change it to match your contract.</t>
        </is>
      </c>
      <c r="D28" s="3" t="n"/>
      <c r="E28" s="3" t="n"/>
      <c r="F28" s="4" t="n"/>
    </row>
    <row r="29" ht="61" customHeight="1">
      <c r="B29" s="10" t="n">
        <v>4</v>
      </c>
      <c r="C29" s="11" t="inlineStr">
        <is>
          <t>Random numbers. Table 1 is used for 10 sites, Table 2 for fewer. Block # is the last digit of the Standard Count (A); type 0 to 9 over it to use another block. Lines G to K lay out every site in station order, rounded up as CT 375 requires, with any site within 1 ft of the edge moved to 1 ft.</t>
        </is>
      </c>
      <c r="D29" s="3" t="n"/>
      <c r="E29" s="3" t="n"/>
      <c r="F29" s="4" t="n"/>
    </row>
    <row r="30" ht="33" customHeight="1">
      <c r="B30" s="10" t="n">
        <v>5</v>
      </c>
      <c r="C30" s="11" t="inlineStr">
        <is>
          <t>Gauge density. Enter both readings, a and b, at every site, in g/cc. The average is calculated to 0.01; if a and b differ by more than 0.05 g/cc it shows RETEST (CT 375, Part 4B.9).</t>
        </is>
      </c>
      <c r="D30" s="3" t="n"/>
      <c r="E30" s="3" t="n"/>
      <c r="F30" s="4" t="n"/>
    </row>
    <row r="31" ht="47" customHeight="1">
      <c r="B31" s="10" t="n">
        <v>6</v>
      </c>
      <c r="C31" s="11" t="inlineStr">
        <is>
          <t>Lines M to S finish themselves. M averages the sites (it shows “7 of 10 sites” until all are in), O = M + N, and S = O / R to the nearest 0.1 %, with PASS, LOW or HIGH beside the spec range.</t>
        </is>
      </c>
      <c r="D31" s="3" t="n"/>
      <c r="E31" s="3" t="n"/>
      <c r="F31" s="4" t="n"/>
    </row>
    <row r="32" ht="16" customHeight="1"/>
    <row r="33" ht="22" customHeight="1">
      <c r="C33" s="8" t="inlineStr">
        <is>
          <t>WHAT THE COLORS MEAN</t>
        </is>
      </c>
      <c r="D33" s="9" t="n"/>
      <c r="E33" s="9" t="n"/>
      <c r="F33" s="9" t="n"/>
    </row>
    <row r="34" ht="5" customHeight="1"/>
    <row r="35" ht="22" customHeight="1">
      <c r="C35" s="17" t="inlineStr">
        <is>
          <t>Shaded</t>
        </is>
      </c>
      <c r="D35" s="18" t="inlineStr">
        <is>
          <t>Type here.</t>
        </is>
      </c>
      <c r="E35" s="3" t="n"/>
      <c r="F35" s="4" t="n"/>
    </row>
    <row r="36" ht="4" customHeight="1"/>
    <row r="37" ht="22" customHeight="1">
      <c r="C37" s="19" t="inlineStr">
        <is>
          <t>White</t>
        </is>
      </c>
      <c r="D37" s="18" t="inlineStr">
        <is>
          <t>Calculated for you, and locked.</t>
        </is>
      </c>
      <c r="E37" s="3" t="n"/>
      <c r="F37" s="4" t="n"/>
    </row>
    <row r="38" ht="4" customHeight="1"/>
    <row r="39" ht="76" customHeight="1">
      <c r="C39" s="20" t="inlineStr">
        <is>
          <t>RETEST</t>
        </is>
      </c>
      <c r="D39" s="18" t="inlineStr">
        <is>
          <t>Needs attention. RETEST: a and b differ by more than 0.05 g/cc. LOW or HIGH: outside the spec range. &gt; 12 MO: the gauge was calibrated more than 12 months before the test. CHECK B &amp; C: a station can't be read, or the finish is before the start. 500 T MAX: CT 375 tests at most 500 t per test area, so split it.</t>
        </is>
      </c>
      <c r="E39" s="3" t="n"/>
      <c r="F39" s="4" t="n"/>
    </row>
    <row r="40" ht="4" customHeight="1"/>
    <row r="41" ht="22" customHeight="1">
      <c r="C41" s="21" t="inlineStr">
        <is>
          <t>PASS</t>
        </is>
      </c>
      <c r="D41" s="18" t="inlineStr">
        <is>
          <t>Relative density within the spec range.</t>
        </is>
      </c>
      <c r="E41" s="3" t="n"/>
      <c r="F41" s="4" t="n"/>
    </row>
    <row r="42" ht="4" customHeight="1"/>
    <row r="43" ht="16" customHeight="1"/>
    <row r="44" ht="22" customHeight="1">
      <c r="C44" s="8" t="inlineStr">
        <is>
          <t>EXPORT A PERFECT PDF</t>
        </is>
      </c>
      <c r="D44" s="9" t="n"/>
      <c r="E44" s="9" t="n"/>
      <c r="F44" s="9" t="n"/>
    </row>
    <row r="45" ht="5" customHeight="1"/>
    <row r="46" ht="19" customHeight="1">
      <c r="C46" s="22" t="inlineStr">
        <is>
          <t>Each form is already set to one Letter page, portrait, centered. Export just the tab you filled in.</t>
        </is>
      </c>
      <c r="D46" s="3" t="n"/>
      <c r="E46" s="3" t="n"/>
      <c r="F46" s="4" t="n"/>
    </row>
    <row r="47" ht="19" customHeight="1">
      <c r="C47" s="12" t="inlineStr">
        <is>
          <t>App</t>
        </is>
      </c>
      <c r="D47" s="13" t="inlineStr">
        <is>
          <t>Steps</t>
        </is>
      </c>
      <c r="E47" s="3" t="n"/>
      <c r="F47" s="4" t="n"/>
    </row>
    <row r="48" ht="34" customHeight="1">
      <c r="C48" s="14" t="inlineStr">
        <is>
          <t>Excel, Windows</t>
        </is>
      </c>
      <c r="D48" s="15" t="inlineStr">
        <is>
          <t>File › Export › Create PDF/XPS › Publish. (Or File › Print, choose Microsoft Print to PDF, then Print.)</t>
        </is>
      </c>
      <c r="E48" s="16" t="n"/>
      <c r="F48" s="16" t="n"/>
    </row>
    <row r="49" ht="34" customHeight="1">
      <c r="C49" s="14" t="inlineStr">
        <is>
          <t>Excel, Mac</t>
        </is>
      </c>
      <c r="D49" s="15" t="inlineStr">
        <is>
          <t>File › Print… › PDF › Save as PDF. (Or File › Save As…, File Format: PDF, and choose Sheet.)</t>
        </is>
      </c>
      <c r="E49" s="16" t="n"/>
      <c r="F49" s="16" t="n"/>
    </row>
    <row r="50" ht="34" customHeight="1">
      <c r="C50" s="14" t="inlineStr">
        <is>
          <t>Numbers, Mac</t>
        </is>
      </c>
      <c r="D50" s="15" t="inlineStr">
        <is>
          <t>File › Print…. In the sidebar: Page Size US Letter, Portrait, Content Scale: Fit, and This Sheet. Click Print, then PDF › Save as PDF.</t>
        </is>
      </c>
      <c r="E50" s="16" t="n"/>
      <c r="F50" s="16" t="n"/>
    </row>
    <row r="51" ht="20" customHeight="1">
      <c r="C51" s="14" t="inlineStr">
        <is>
          <t>Numbers, iPad</t>
        </is>
      </c>
      <c r="D51" s="15" t="inlineStr">
        <is>
          <t>More (…) › Print, choose This Sheet, then save or share the PDF.</t>
        </is>
      </c>
      <c r="E51" s="16" t="n"/>
      <c r="F51" s="16" t="n"/>
    </row>
    <row r="52" ht="48" customHeight="1">
      <c r="C52" s="14" t="inlineStr">
        <is>
          <t>Google Sheets</t>
        </is>
      </c>
      <c r="D52" s="15" t="inlineStr">
        <is>
          <t>File › Download › PDF. Set Export: Current sheet, Paper size: Letter, Page orientation: Portrait, Scale: Fit to page, Margins: Narrow, and untick Show gridlines. Click Export.</t>
        </is>
      </c>
      <c r="E52" s="16" t="n"/>
      <c r="F52" s="16" t="n"/>
    </row>
    <row r="53" ht="16" customHeight="1"/>
    <row r="54" ht="22" customHeight="1">
      <c r="C54" s="8" t="inlineStr">
        <is>
          <t>SEVERAL TESTS IN ONE FILE</t>
        </is>
      </c>
      <c r="D54" s="9" t="n"/>
      <c r="E54" s="9" t="n"/>
      <c r="F54" s="9" t="n"/>
    </row>
    <row r="55" ht="5" customHeight="1"/>
    <row r="56" ht="47" customHeight="1">
      <c r="C56" s="11" t="inlineStr">
        <is>
          <t>Copy the TL-3112 tab for each test area or sublot, then rename the copy (for example “Lot 1-10”). Excel: right-click the tab › Move or Copy › Create a copy. Numbers: the tab's menu › Duplicate. Google Sheets: right-click the tab › Duplicate.</t>
        </is>
      </c>
      <c r="D56" s="3" t="n"/>
      <c r="E56" s="3" t="n"/>
      <c r="F56" s="4" t="n"/>
    </row>
    <row r="57" ht="16" customHeight="1"/>
    <row r="58" ht="22" customHeight="1">
      <c r="C58" s="8" t="inlineStr">
        <is>
          <t>GOOD TO KNOW</t>
        </is>
      </c>
      <c r="D58" s="9" t="n"/>
      <c r="E58" s="9" t="n"/>
      <c r="F58" s="9" t="n"/>
    </row>
    <row r="59" ht="5" customHeight="1"/>
    <row r="60" ht="33" customHeight="1">
      <c r="B60" s="10" t="inlineStr">
        <is>
          <t>•</t>
        </is>
      </c>
      <c r="C60" s="11" t="inlineStr">
        <is>
          <t>Works in Excel 2010 and later (Windows, Mac, iPad and the web), Apple Numbers and Google Sheets. Calculations follow California Test 375 to the letter, including its rounding.</t>
        </is>
      </c>
      <c r="D60" s="3" t="n"/>
      <c r="E60" s="3" t="n"/>
      <c r="F60" s="4" t="n"/>
    </row>
    <row r="61" ht="33" customHeight="1">
      <c r="B61" s="10" t="inlineStr">
        <is>
          <t>•</t>
        </is>
      </c>
      <c r="C61" s="11" t="inlineStr">
        <is>
          <t>Densities are in g/cc, as in CT 375 and the Standard Specifications. If your gauge shows pcf, divide by 62.43.</t>
        </is>
      </c>
      <c r="D61" s="3" t="n"/>
      <c r="E61" s="3" t="n"/>
      <c r="F61" s="4" t="n"/>
    </row>
    <row r="62" ht="47" customHeight="1">
      <c r="B62" s="10" t="inlineStr">
        <is>
          <t>•</t>
        </is>
      </c>
      <c r="C62" s="11" t="inlineStr">
        <is>
          <t>The forms are protected so formulas can't be overwritten by accident. There is no password: Review › Unprotect Sheet (Excel) or Data › Protect sheets and ranges (Google Sheets). Numbers doesn't lock cells.</t>
        </is>
      </c>
      <c r="D62" s="3" t="n"/>
      <c r="E62" s="3" t="n"/>
      <c r="F62" s="4" t="n"/>
    </row>
    <row r="63" ht="33" customHeight="1">
      <c r="B63" s="10" t="inlineStr">
        <is>
          <t>•</t>
        </is>
      </c>
      <c r="C63" s="11" t="inlineStr">
        <is>
          <t>Site moved because the surface wasn't representative (CT 375, Part 4B.1)? Record the move in the field notes, as the Caltrans example does.</t>
        </is>
      </c>
      <c r="D63" s="3" t="n"/>
      <c r="E63" s="3" t="n"/>
      <c r="F63" s="4" t="n"/>
    </row>
    <row r="64" ht="16" customHeight="1"/>
    <row r="65" ht="22" customHeight="1">
      <c r="C65" s="8" t="inlineStr">
        <is>
          <t>STANDARDS THIS FOLLOWS</t>
        </is>
      </c>
      <c r="D65" s="9" t="n"/>
      <c r="E65" s="9" t="n"/>
      <c r="F65" s="9" t="n"/>
    </row>
    <row r="66" ht="5" customHeight="1"/>
    <row r="67" ht="33" customHeight="1">
      <c r="B67" s="10" t="inlineStr">
        <is>
          <t>•</t>
        </is>
      </c>
      <c r="C67" s="11" t="inlineStr">
        <is>
          <t>California Test 375 (February 2012), Determining the In-Place Density and Relative Compaction of Hot Mix Asphalt Pavement Using Nuclear Gages: Caltrans' current version.</t>
        </is>
      </c>
      <c r="D67" s="3" t="n"/>
      <c r="E67" s="3" t="n"/>
      <c r="F67" s="4" t="n"/>
    </row>
    <row r="68" ht="33" customHeight="1">
      <c r="B68" s="10" t="inlineStr">
        <is>
          <t>•</t>
        </is>
      </c>
      <c r="C68" s="11" t="inlineStr">
        <is>
          <t>DOT TL-3112 (REV 08/2026), Density and Relative Compaction of In-Situ Hot Mix Asphalt; and Form TL-3112 (Rev. 02/04) on the 2004 tab.</t>
        </is>
      </c>
      <c r="D68" s="3" t="n"/>
      <c r="E68" s="3" t="n"/>
      <c r="F68" s="4" t="n"/>
    </row>
    <row r="69" ht="47" customHeight="1">
      <c r="B69" s="10" t="inlineStr">
        <is>
          <t>•</t>
        </is>
      </c>
      <c r="C69" s="11" t="inlineStr">
        <is>
          <t>Caltrans Standard Specifications (2025), Section 39: correlate the gauge to cores on the first day of production under CT 375; gauge density at least 3 per 250 t or 3 per paving day; core density 91.0 to 97.0 % of maximum theoretical density (AASHTO T 209) for Type A HMA.</t>
        </is>
      </c>
      <c r="D69" s="3" t="n"/>
      <c r="E69" s="3" t="n"/>
      <c r="F69" s="4" t="n"/>
    </row>
    <row r="70" ht="33" customHeight="1">
      <c r="B70" s="10" t="inlineStr">
        <is>
          <t>•</t>
        </is>
      </c>
      <c r="C70" s="11" t="inlineStr">
        <is>
          <t>Your contract's special provisions come first; check the spec range and test frequency against them.</t>
        </is>
      </c>
      <c r="D70" s="3" t="n"/>
      <c r="E70" s="3" t="n"/>
      <c r="F70" s="4" t="n"/>
    </row>
    <row r="71" ht="20" customHeight="1"/>
    <row r="72" ht="12" customHeight="1">
      <c r="A72" s="1" t="n"/>
      <c r="B72" s="1" t="n"/>
      <c r="C72" s="1" t="n"/>
      <c r="D72" s="1" t="n"/>
      <c r="E72" s="1" t="n"/>
      <c r="F72" s="1" t="n"/>
      <c r="G72" s="1" t="n"/>
    </row>
    <row r="73" ht="22" customHeight="1">
      <c r="A73" s="1" t="n"/>
      <c r="B73" s="1" t="n"/>
      <c r="C73" s="23" t="inlineStr">
        <is>
          <t>Bunker Inspections</t>
        </is>
      </c>
      <c r="D73" s="3" t="n"/>
      <c r="E73" s="3" t="n"/>
      <c r="F73" s="4" t="n"/>
      <c r="G73" s="1" t="n"/>
    </row>
    <row r="74" ht="18" customHeight="1">
      <c r="A74" s="1" t="n"/>
      <c r="B74" s="1" t="n"/>
      <c r="C74" s="24" t="inlineStr">
        <is>
          <t>bunkerinspections.com  ·  contact@bunkerinspections.com  ·  Questions and ideas welcome.</t>
        </is>
      </c>
      <c r="D74" s="3" t="n"/>
      <c r="E74" s="3" t="n"/>
      <c r="F74" s="4" t="n"/>
      <c r="G74" s="1" t="n"/>
    </row>
    <row r="75" ht="30" customHeight="1">
      <c r="A75" s="1" t="n"/>
      <c r="B75" s="1" t="n"/>
      <c r="C75" s="25" t="inlineStr">
        <is>
          <t>Not affiliated with Caltrans. Provided as is; check results against the current test method and your contract before relying on them.</t>
        </is>
      </c>
      <c r="D75" s="3" t="n"/>
      <c r="E75" s="3" t="n"/>
      <c r="F75" s="4" t="n"/>
      <c r="G75" s="1" t="n"/>
    </row>
    <row r="76" ht="12" customHeight="1">
      <c r="A76" s="1" t="n"/>
      <c r="B76" s="1" t="n"/>
      <c r="C76" s="1" t="n"/>
      <c r="D76" s="1" t="n"/>
      <c r="E76" s="1" t="n"/>
      <c r="F76" s="1" t="n"/>
      <c r="G76" s="1" t="n"/>
    </row>
  </sheetData>
  <sheetProtection selectLockedCells="0" selectUnlockedCells="0" sheet="1" objects="1" insertRows="1" insertHyperlinks="1" autoFilter="1" scenarios="1" formatColumns="0" deleteColumns="1" insertColumns="1" pivotTables="1" deleteRows="1" formatCells="1" formatRows="0" sort="1"/>
  <mergeCells count="49">
    <mergeCell ref="C70:F70"/>
    <mergeCell ref="C61:F61"/>
    <mergeCell ref="D41:F41"/>
    <mergeCell ref="D48:F48"/>
    <mergeCell ref="D17:F17"/>
    <mergeCell ref="C67:F67"/>
    <mergeCell ref="D47:F47"/>
    <mergeCell ref="C28:F28"/>
    <mergeCell ref="C13:F13"/>
    <mergeCell ref="D21:F21"/>
    <mergeCell ref="C3:F3"/>
    <mergeCell ref="D37:F37"/>
    <mergeCell ref="C69:F69"/>
    <mergeCell ref="D18:F18"/>
    <mergeCell ref="C30:F30"/>
    <mergeCell ref="C62:F62"/>
    <mergeCell ref="C68:F68"/>
    <mergeCell ref="C15:F15"/>
    <mergeCell ref="C33:F33"/>
    <mergeCell ref="C24:F24"/>
    <mergeCell ref="C5:F5"/>
    <mergeCell ref="D39:F39"/>
    <mergeCell ref="C58:F58"/>
    <mergeCell ref="D51:F51"/>
    <mergeCell ref="C74:F74"/>
    <mergeCell ref="C73:F73"/>
    <mergeCell ref="C4:F4"/>
    <mergeCell ref="C26:F26"/>
    <mergeCell ref="C29:F29"/>
    <mergeCell ref="D35:F35"/>
    <mergeCell ref="D50:F50"/>
    <mergeCell ref="C54:F54"/>
    <mergeCell ref="C63:F63"/>
    <mergeCell ref="C65:F65"/>
    <mergeCell ref="D20:F20"/>
    <mergeCell ref="C44:F44"/>
    <mergeCell ref="C9:F9"/>
    <mergeCell ref="D19:F19"/>
    <mergeCell ref="C31:F31"/>
    <mergeCell ref="C75:F75"/>
    <mergeCell ref="C56:F56"/>
    <mergeCell ref="C12:F12"/>
    <mergeCell ref="D22:F22"/>
    <mergeCell ref="C46:F46"/>
    <mergeCell ref="C11:F11"/>
    <mergeCell ref="D52:F52"/>
    <mergeCell ref="C27:F27"/>
    <mergeCell ref="C60:F60"/>
    <mergeCell ref="D49:F49"/>
  </mergeCells>
  <pageMargins left="0.4" right="0.4" top="0.4" bottom="0.4" header="0.5" footer="0.5"/>
  <pageSetup orientation="portrait" paperSize="1" fitToHeight="0" fitToWidth="1"/>
  <ignoredErrors>
    <ignoredError sqref="A1:L80" unlockedFormula="1" formula="1" formulaRange="1" numberStoredAsText="1" emptyCellReference="1" evalError="1"/>
  </ignoredErrors>
  <drawing xmlns:r="http://schemas.openxmlformats.org/officeDocument/2006/relationships" r:id="rId1"/>
</worksheet>
</file>

<file path=xl/worksheets/sheet2.xml><?xml version="1.0" encoding="utf-8"?>
<worksheet xmlns="http://schemas.openxmlformats.org/spreadsheetml/2006/main">
  <sheetPr>
    <tabColor rgb="001A1A1A"/>
    <outlinePr summaryBelow="1" summaryRight="1"/>
    <pageSetUpPr fitToPage="1"/>
  </sheetPr>
  <dimension ref="A1:L53"/>
  <sheetViews>
    <sheetView showGridLines="0" workbookViewId="0">
      <selection activeCell="A5" sqref="A5"/>
    </sheetView>
  </sheetViews>
  <sheetFormatPr baseColWidth="8" defaultRowHeight="15"/>
  <cols>
    <col width="27.5" customWidth="1" min="1" max="1"/>
    <col width="5.5"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s>
  <sheetData>
    <row r="1" ht="13" customHeight="1">
      <c r="A1" s="26" t="inlineStr">
        <is>
          <t>STATE OF CALIFORNIA • DEPARTMENT OF TRANSPORTATION</t>
        </is>
      </c>
      <c r="B1" s="3" t="n"/>
      <c r="C1" s="3" t="n"/>
      <c r="D1" s="3" t="n"/>
      <c r="E1" s="3" t="n"/>
      <c r="F1" s="3" t="n"/>
      <c r="G1" s="3" t="n"/>
      <c r="H1" s="4" t="n"/>
    </row>
    <row r="2" ht="20" customHeight="1">
      <c r="A2" s="27" t="inlineStr">
        <is>
          <t>DENSITY AND RELATIVE COMPACTION OF IN-SITU HOT MIX ASPHALT</t>
        </is>
      </c>
      <c r="B2" s="3" t="n"/>
      <c r="C2" s="3" t="n"/>
      <c r="D2" s="3" t="n"/>
      <c r="E2" s="3" t="n"/>
      <c r="F2" s="3" t="n"/>
      <c r="G2" s="3" t="n"/>
      <c r="H2" s="3" t="n"/>
      <c r="I2" s="3" t="n"/>
      <c r="J2" s="3" t="n"/>
      <c r="K2" s="3" t="n"/>
      <c r="L2" s="4" t="n"/>
    </row>
    <row r="3" ht="15" customHeight="1">
      <c r="A3" s="28" t="inlineStr">
        <is>
          <t>DOT TL-3112 (REV 08/2026)</t>
        </is>
      </c>
      <c r="B3" s="29" t="n"/>
      <c r="C3" s="29" t="n"/>
      <c r="D3" s="29" t="n"/>
      <c r="E3" s="29" t="n"/>
      <c r="F3" s="29" t="n"/>
      <c r="G3" s="29" t="n"/>
      <c r="H3" s="29" t="n"/>
      <c r="I3" s="29" t="n"/>
      <c r="J3" s="29" t="n"/>
      <c r="K3" s="29" t="n"/>
      <c r="L3" s="29" t="n"/>
    </row>
    <row r="4" ht="15" customHeight="1">
      <c r="A4" s="30" t="inlineStr">
        <is>
          <t>PROJECT</t>
        </is>
      </c>
      <c r="B4" s="31" t="n"/>
      <c r="C4" s="31" t="n"/>
      <c r="D4" s="31" t="n"/>
      <c r="E4" s="32" t="n"/>
      <c r="F4" s="33" t="inlineStr">
        <is>
          <t>Test By</t>
        </is>
      </c>
      <c r="G4" s="31" t="n"/>
      <c r="H4" s="34" t="n"/>
      <c r="I4" s="35" t="inlineStr">
        <is>
          <t>Lot Number</t>
        </is>
      </c>
      <c r="J4" s="34" t="n"/>
      <c r="K4" s="35" t="inlineStr">
        <is>
          <t>Date</t>
        </is>
      </c>
      <c r="L4" s="32" t="n"/>
    </row>
    <row r="5" ht="18" customHeight="1">
      <c r="A5" s="36" t="n"/>
      <c r="B5" s="37" t="n"/>
      <c r="C5" s="37" t="n"/>
      <c r="D5" s="37" t="n"/>
      <c r="E5" s="38" t="n"/>
      <c r="F5" s="36" t="n"/>
      <c r="G5" s="37" t="n"/>
      <c r="H5" s="39" t="n"/>
      <c r="I5" s="40" t="n"/>
      <c r="J5" s="39" t="n"/>
      <c r="K5" s="41" t="n"/>
      <c r="L5" s="38" t="n"/>
    </row>
    <row r="6" ht="18" customHeight="1">
      <c r="A6" s="36" t="n"/>
      <c r="B6" s="37" t="n"/>
      <c r="C6" s="37" t="n"/>
      <c r="D6" s="37" t="n"/>
      <c r="E6" s="38" t="n"/>
      <c r="F6" s="42" t="inlineStr">
        <is>
          <t>Aggregate Source</t>
        </is>
      </c>
      <c r="G6" s="43" t="n"/>
      <c r="H6" s="40" t="n"/>
      <c r="I6" s="37" t="n"/>
      <c r="J6" s="37" t="n"/>
      <c r="K6" s="37" t="n"/>
      <c r="L6" s="38" t="n"/>
    </row>
    <row r="7" ht="18" customHeight="1">
      <c r="A7" s="36" t="n"/>
      <c r="B7" s="37" t="n"/>
      <c r="C7" s="37" t="n"/>
      <c r="D7" s="37" t="n"/>
      <c r="E7" s="38" t="n"/>
      <c r="F7" s="42" t="inlineStr">
        <is>
          <t>HMA Mix Number</t>
        </is>
      </c>
      <c r="G7" s="43" t="n"/>
      <c r="H7" s="40" t="n"/>
      <c r="I7" s="37" t="n"/>
      <c r="J7" s="37" t="n"/>
      <c r="K7" s="37" t="n"/>
      <c r="L7" s="38" t="n"/>
    </row>
    <row r="8" ht="18" customHeight="1">
      <c r="A8" s="36" t="n"/>
      <c r="B8" s="37" t="n"/>
      <c r="C8" s="37" t="n"/>
      <c r="D8" s="37" t="n"/>
      <c r="E8" s="38" t="n"/>
      <c r="F8" s="42" t="inlineStr">
        <is>
          <t>Lane Number</t>
        </is>
      </c>
      <c r="G8" s="43" t="n"/>
      <c r="H8" s="40" t="n"/>
      <c r="I8" s="37" t="n"/>
      <c r="J8" s="37" t="n"/>
      <c r="K8" s="37" t="n"/>
      <c r="L8" s="38" t="n"/>
    </row>
    <row r="9" ht="18" customHeight="1">
      <c r="A9" s="36" t="n"/>
      <c r="B9" s="37" t="n"/>
      <c r="C9" s="37" t="n"/>
      <c r="D9" s="37" t="n"/>
      <c r="E9" s="38" t="n"/>
      <c r="F9" s="42" t="inlineStr">
        <is>
          <t>Lift Number</t>
        </is>
      </c>
      <c r="G9" s="43" t="n"/>
      <c r="H9" s="40" t="n"/>
      <c r="I9" s="37" t="n"/>
      <c r="J9" s="37" t="n"/>
      <c r="K9" s="37" t="n"/>
      <c r="L9" s="38" t="n"/>
    </row>
    <row r="10" ht="18" customHeight="1">
      <c r="A10" s="44" t="n"/>
      <c r="B10" s="45" t="n"/>
      <c r="C10" s="45" t="n"/>
      <c r="D10" s="45" t="n"/>
      <c r="E10" s="46" t="n"/>
      <c r="F10" s="47" t="inlineStr">
        <is>
          <t>Lift Thickness, ft</t>
        </is>
      </c>
      <c r="G10" s="48" t="n"/>
      <c r="H10" s="49" t="n"/>
      <c r="I10" s="45" t="n"/>
      <c r="J10" s="45" t="n"/>
      <c r="K10" s="45" t="n"/>
      <c r="L10" s="46" t="n"/>
    </row>
    <row r="11" ht="16" customHeight="1">
      <c r="A11" s="30" t="inlineStr">
        <is>
          <t>DENSITY GAGE</t>
        </is>
      </c>
      <c r="B11" s="31" t="n"/>
      <c r="C11" s="31" t="n"/>
      <c r="D11" s="31" t="n"/>
      <c r="E11" s="32" t="n"/>
      <c r="F11" s="30" t="inlineStr">
        <is>
          <t>TEST AREA LIMITS</t>
        </is>
      </c>
      <c r="G11" s="31" t="n"/>
      <c r="H11" s="31" t="n"/>
      <c r="I11" s="31" t="n"/>
      <c r="J11" s="31" t="n"/>
      <c r="K11" s="31" t="n"/>
      <c r="L11" s="32" t="n"/>
    </row>
    <row r="12" ht="18" customHeight="1">
      <c r="A12" s="50" t="inlineStr">
        <is>
          <t>Date of Last Calibration</t>
        </is>
      </c>
      <c r="B12" s="51" t="n"/>
      <c r="C12" s="37" t="n"/>
      <c r="D12" s="39" t="n"/>
      <c r="E12" s="52" t="str">
        <f>IF(AND(ISNUMBER(B12),ISNUMBER(K5)),IF(K5&gt;EDATE(B12,12),"&gt; 12 MO",""),"")</f>
        <v/>
      </c>
      <c r="F12" s="42" t="inlineStr">
        <is>
          <t>(B) Start Station</t>
        </is>
      </c>
      <c r="G12" s="53" t="n"/>
      <c r="H12" s="43" t="n"/>
      <c r="I12" s="54" t="n"/>
      <c r="J12" s="37" t="n"/>
      <c r="K12" s="37" t="n"/>
      <c r="L12" s="38" t="n"/>
    </row>
    <row r="13" ht="18" customHeight="1">
      <c r="A13" s="50" t="inlineStr">
        <is>
          <t>Model and ID</t>
        </is>
      </c>
      <c r="B13" s="40" t="n"/>
      <c r="C13" s="37" t="n"/>
      <c r="D13" s="37" t="n"/>
      <c r="E13" s="38" t="n"/>
      <c r="F13" s="42" t="inlineStr">
        <is>
          <t>(C) Finish Station</t>
        </is>
      </c>
      <c r="G13" s="53" t="n"/>
      <c r="H13" s="43" t="n"/>
      <c r="I13" s="54" t="n"/>
      <c r="J13" s="37" t="n"/>
      <c r="K13" s="37" t="n"/>
      <c r="L13" s="38" t="n"/>
    </row>
    <row r="14" ht="18" customHeight="1">
      <c r="A14" s="50" t="inlineStr">
        <is>
          <t>(A) Standard Count</t>
        </is>
      </c>
      <c r="B14" s="55" t="n"/>
      <c r="C14" s="37" t="n"/>
      <c r="D14" s="37" t="n"/>
      <c r="E14" s="38" t="n"/>
      <c r="F14" s="42" t="inlineStr">
        <is>
          <t>(D) Length (C - B), ft</t>
        </is>
      </c>
      <c r="G14" s="53" t="n"/>
      <c r="H14" s="43" t="n"/>
      <c r="I14" s="56" t="str">
        <f>IF(AND(ISNUMBER($C$49),ISNUMBER($D$49)),IF($D$49-$C$49&gt;0,$D$49-$C$49,"CHECK B &amp; C"),IF(AND(TRIM(I12)&lt;&gt;"",TRIM(I13)&lt;&gt;""),"CHECK B &amp; C",""))</f>
        <v/>
      </c>
      <c r="J14" s="53" t="n"/>
      <c r="K14" s="53" t="n"/>
      <c r="L14" s="57" t="n"/>
    </row>
    <row r="15" ht="18" customHeight="1">
      <c r="A15" s="50" t="inlineStr">
        <is>
          <t>Set/Entered Depth Used*</t>
        </is>
      </c>
      <c r="B15" s="40" t="n"/>
      <c r="C15" s="37" t="n"/>
      <c r="D15" s="37" t="n"/>
      <c r="E15" s="38" t="n"/>
      <c r="F15" s="42" t="inlineStr">
        <is>
          <t>(E) Lane Width, ft</t>
        </is>
      </c>
      <c r="G15" s="53" t="n"/>
      <c r="H15" s="43" t="n"/>
      <c r="I15" s="58" t="n"/>
      <c r="J15" s="37" t="n"/>
      <c r="K15" s="37" t="n"/>
      <c r="L15" s="38" t="n"/>
    </row>
    <row r="16" ht="18" customHeight="1">
      <c r="A16" s="59" t="inlineStr">
        <is>
          <t>* Must match value used during correlation</t>
        </is>
      </c>
      <c r="B16" s="60" t="n"/>
      <c r="C16" s="60" t="n"/>
      <c r="D16" s="60" t="n"/>
      <c r="E16" s="61" t="n"/>
      <c r="F16" s="47" t="inlineStr">
        <is>
          <t>(F) Maximum Theoretical Specific Gravity (Gmm)</t>
        </is>
      </c>
      <c r="G16" s="60" t="n"/>
      <c r="H16" s="60" t="n"/>
      <c r="I16" s="60" t="n"/>
      <c r="J16" s="48" t="n"/>
      <c r="K16" s="62" t="n"/>
      <c r="L16" s="46" t="n"/>
    </row>
    <row r="17" ht="16" customHeight="1">
      <c r="A17" s="30" t="inlineStr">
        <is>
          <t>CORE CORRELATION WORKSHEET</t>
        </is>
      </c>
      <c r="B17" s="31" t="n"/>
      <c r="C17" s="31" t="n"/>
      <c r="D17" s="31" t="n"/>
      <c r="E17" s="31" t="n"/>
      <c r="F17" s="31" t="n"/>
      <c r="G17" s="31" t="n"/>
      <c r="H17" s="31" t="n"/>
      <c r="I17" s="31" t="n"/>
      <c r="J17" s="31" t="n"/>
      <c r="K17" s="31" t="n"/>
      <c r="L17" s="32" t="n"/>
    </row>
    <row r="18" ht="16" customHeight="1">
      <c r="A18" s="63" t="inlineStr">
        <is>
          <t>Location</t>
        </is>
      </c>
      <c r="B18" s="43" t="n"/>
      <c r="C18" s="64" t="inlineStr">
        <is>
          <t>1</t>
        </is>
      </c>
      <c r="D18" s="43" t="n"/>
      <c r="E18" s="64" t="inlineStr">
        <is>
          <t>2</t>
        </is>
      </c>
      <c r="F18" s="43" t="n"/>
      <c r="G18" s="64" t="inlineStr">
        <is>
          <t>3</t>
        </is>
      </c>
      <c r="H18" s="43" t="n"/>
      <c r="I18" s="64" t="inlineStr">
        <is>
          <t>4</t>
        </is>
      </c>
      <c r="J18" s="43" t="n"/>
      <c r="K18" s="64" t="inlineStr">
        <is>
          <t>5</t>
        </is>
      </c>
      <c r="L18" s="57" t="n"/>
    </row>
    <row r="19" ht="18" customHeight="1">
      <c r="A19" s="65" t="inlineStr">
        <is>
          <t>Core Density</t>
        </is>
      </c>
      <c r="B19" s="43" t="n"/>
      <c r="C19" s="66" t="n"/>
      <c r="D19" s="39" t="n"/>
      <c r="E19" s="66" t="n"/>
      <c r="F19" s="39" t="n"/>
      <c r="G19" s="66" t="n"/>
      <c r="H19" s="39" t="n"/>
      <c r="I19" s="66" t="n"/>
      <c r="J19" s="39" t="n"/>
      <c r="K19" s="66" t="n"/>
      <c r="L19" s="38" t="n"/>
    </row>
    <row r="20" ht="18" customHeight="1">
      <c r="A20" s="65" t="inlineStr">
        <is>
          <t>Gauge Density</t>
        </is>
      </c>
      <c r="B20" s="43" t="n"/>
      <c r="C20" s="66" t="n"/>
      <c r="D20" s="39" t="n"/>
      <c r="E20" s="66" t="n"/>
      <c r="F20" s="39" t="n"/>
      <c r="G20" s="66" t="n"/>
      <c r="H20" s="39" t="n"/>
      <c r="I20" s="66" t="n"/>
      <c r="J20" s="39" t="n"/>
      <c r="K20" s="66" t="n"/>
      <c r="L20" s="38" t="n"/>
    </row>
    <row r="21" ht="27" customHeight="1">
      <c r="A21" s="67" t="inlineStr">
        <is>
          <t>Difference (Core Density
- Gauge Density)</t>
        </is>
      </c>
      <c r="B21" s="43" t="n"/>
      <c r="C21" s="68" t="str">
        <f>IF(AND(ISNUMBER(C19),ISNUMBER(C20)),ROUND(C19-C20,3),"")</f>
        <v/>
      </c>
      <c r="D21" s="43" t="n"/>
      <c r="E21" s="68" t="str">
        <f>IF(AND(ISNUMBER(E19),ISNUMBER(E20)),ROUND(E19-E20,3),"")</f>
        <v/>
      </c>
      <c r="F21" s="43" t="n"/>
      <c r="G21" s="68" t="str">
        <f>IF(AND(ISNUMBER(G19),ISNUMBER(G20)),ROUND(G19-G20,3),"")</f>
        <v/>
      </c>
      <c r="H21" s="43" t="n"/>
      <c r="I21" s="68" t="str">
        <f>IF(AND(ISNUMBER(I19),ISNUMBER(I20)),ROUND(I19-I20,3),"")</f>
        <v/>
      </c>
      <c r="J21" s="43" t="n"/>
      <c r="K21" s="68" t="str">
        <f>IF(AND(ISNUMBER(K19),ISNUMBER(K20)),ROUND(K19-K20,3),"")</f>
        <v/>
      </c>
      <c r="L21" s="57" t="n"/>
    </row>
    <row r="22" ht="18" customHeight="1">
      <c r="A22" s="65" t="inlineStr">
        <is>
          <t>Total Difference (Sum of Difference)</t>
        </is>
      </c>
      <c r="B22" s="53" t="n"/>
      <c r="C22" s="53" t="n"/>
      <c r="D22" s="53" t="n"/>
      <c r="E22" s="53" t="n"/>
      <c r="F22" s="53" t="n"/>
      <c r="G22" s="53" t="n"/>
      <c r="H22" s="53" t="n"/>
      <c r="I22" s="53" t="n"/>
      <c r="J22" s="43" t="n"/>
      <c r="K22" s="68" t="str">
        <f>IF(COUNT($C$21:$L$21)=0,"",ROUND(SUM($C$21:$L$21),3))</f>
        <v/>
      </c>
      <c r="L22" s="57" t="n"/>
    </row>
    <row r="23" ht="18" customHeight="1">
      <c r="A23" s="69" t="inlineStr">
        <is>
          <t>Average Difference (Correlation Factor or Offset) (N)</t>
        </is>
      </c>
      <c r="B23" s="60" t="n"/>
      <c r="C23" s="60" t="n"/>
      <c r="D23" s="60" t="n"/>
      <c r="E23" s="60" t="n"/>
      <c r="F23" s="60" t="n"/>
      <c r="G23" s="60" t="n"/>
      <c r="H23" s="60" t="n"/>
      <c r="I23" s="60" t="n"/>
      <c r="J23" s="48" t="n"/>
      <c r="K23" s="70" t="str">
        <f>IF(COUNT($C$21:$L$21)=0,"",ROUND(AVERAGE($C$21:$L$21),3))</f>
        <v/>
      </c>
      <c r="L23" s="61" t="n"/>
    </row>
    <row r="24" ht="27" customHeight="1">
      <c r="A24" s="71" t="inlineStr">
        <is>
          <t>FIELD NOTES AND CALCULATIONS
(Use back if more room is needed)</t>
        </is>
      </c>
      <c r="B24" s="72" t="n"/>
      <c r="C24" s="72" t="n"/>
      <c r="D24" s="72" t="n"/>
      <c r="E24" s="72" t="n"/>
      <c r="F24" s="72" t="n"/>
      <c r="G24" s="72" t="n"/>
      <c r="H24" s="72" t="n"/>
      <c r="I24" s="72" t="n"/>
      <c r="J24" s="72" t="n"/>
      <c r="K24" s="72" t="n"/>
      <c r="L24" s="73" t="n"/>
    </row>
    <row r="25" ht="19" customHeight="1">
      <c r="A25" s="74" t="inlineStr">
        <is>
          <t>HMA in test area, tons</t>
        </is>
      </c>
      <c r="B25" s="75" t="n"/>
      <c r="C25" s="76" t="n"/>
      <c r="D25" s="77" t="inlineStr">
        <is>
          <t>Test sites</t>
        </is>
      </c>
      <c r="E25" s="48" t="n"/>
      <c r="F25" s="78" t="str">
        <f>IF(NOT(ISNUMBER(B25)),"",IF(B25&gt;500,"500 T MAX",MAX(5,ROUNDUP(B25/50,0))))</f>
        <v/>
      </c>
      <c r="G25" s="77" t="inlineStr">
        <is>
          <t>Spec. range, %</t>
        </is>
      </c>
      <c r="H25" s="48" t="n"/>
      <c r="I25" s="79" t="n">
        <v>91</v>
      </c>
      <c r="J25" s="80" t="n">
        <v>97</v>
      </c>
      <c r="K25" s="81" t="inlineStr">
        <is>
          <t>Result</t>
        </is>
      </c>
      <c r="L25" s="82" t="str">
        <f>IF(NOT(ISNUMBER(K45)),"",IF(AND(ISNUMBER(I25),K45&lt;I25),"LOW",IF(AND(ISNUMBER(J25),K45&gt;J25),"HIGH","PASS")))</f>
        <v/>
      </c>
    </row>
    <row r="26" ht="17" customHeight="1">
      <c r="A26" s="83" t="n"/>
      <c r="B26" s="84" t="n"/>
      <c r="C26" s="84" t="n"/>
      <c r="D26" s="84" t="n"/>
      <c r="E26" s="84" t="n"/>
      <c r="F26" s="84" t="n"/>
      <c r="G26" s="84" t="n"/>
      <c r="H26" s="84" t="n"/>
      <c r="I26" s="84" t="n"/>
      <c r="J26" s="84" t="n"/>
      <c r="K26" s="84" t="n"/>
      <c r="L26" s="85" t="n"/>
    </row>
    <row r="27" ht="17" customHeight="1">
      <c r="A27" s="86" t="n"/>
      <c r="B27" s="87" t="n"/>
      <c r="C27" s="87" t="n"/>
      <c r="D27" s="87" t="n"/>
      <c r="E27" s="87" t="n"/>
      <c r="F27" s="87" t="n"/>
      <c r="G27" s="87" t="n"/>
      <c r="H27" s="87" t="n"/>
      <c r="I27" s="87" t="n"/>
      <c r="J27" s="87" t="n"/>
      <c r="K27" s="87" t="n"/>
      <c r="L27" s="88" t="n"/>
    </row>
    <row r="28" ht="17" customHeight="1">
      <c r="A28" s="86" t="n"/>
      <c r="B28" s="87" t="n"/>
      <c r="C28" s="87" t="n"/>
      <c r="D28" s="87" t="n"/>
      <c r="E28" s="87" t="n"/>
      <c r="F28" s="87" t="n"/>
      <c r="G28" s="87" t="n"/>
      <c r="H28" s="87" t="n"/>
      <c r="I28" s="87" t="n"/>
      <c r="J28" s="87" t="n"/>
      <c r="K28" s="87" t="n"/>
      <c r="L28" s="88" t="n"/>
    </row>
    <row r="29" ht="17" customHeight="1">
      <c r="A29" s="86" t="n"/>
      <c r="B29" s="87" t="n"/>
      <c r="C29" s="87" t="n"/>
      <c r="D29" s="87" t="n"/>
      <c r="E29" s="87" t="n"/>
      <c r="F29" s="87" t="n"/>
      <c r="G29" s="87" t="n"/>
      <c r="H29" s="87" t="n"/>
      <c r="I29" s="87" t="n"/>
      <c r="J29" s="87" t="n"/>
      <c r="K29" s="87" t="n"/>
      <c r="L29" s="88" t="n"/>
    </row>
    <row r="30" ht="17" customHeight="1">
      <c r="A30" s="86" t="n"/>
      <c r="B30" s="87" t="n"/>
      <c r="C30" s="87" t="n"/>
      <c r="D30" s="87" t="n"/>
      <c r="E30" s="87" t="n"/>
      <c r="F30" s="87" t="n"/>
      <c r="G30" s="87" t="n"/>
      <c r="H30" s="87" t="n"/>
      <c r="I30" s="87" t="n"/>
      <c r="J30" s="87" t="n"/>
      <c r="K30" s="87" t="n"/>
      <c r="L30" s="88" t="n"/>
    </row>
    <row r="31" ht="17" customHeight="1">
      <c r="A31" s="89" t="n"/>
      <c r="B31" s="90" t="n"/>
      <c r="C31" s="90" t="n"/>
      <c r="D31" s="90" t="n"/>
      <c r="E31" s="90" t="n"/>
      <c r="F31" s="90" t="n"/>
      <c r="G31" s="90" t="n"/>
      <c r="H31" s="90" t="n"/>
      <c r="I31" s="90" t="n"/>
      <c r="J31" s="90" t="n"/>
      <c r="K31" s="90" t="n"/>
      <c r="L31" s="91" t="n"/>
    </row>
    <row r="32" ht="18" customHeight="1">
      <c r="A32" s="92" t="inlineStr">
        <is>
          <t>COLUMN</t>
        </is>
      </c>
      <c r="B32" s="34" t="n"/>
      <c r="C32" s="93" t="inlineStr">
        <is>
          <t>RANDOM NUMBER</t>
        </is>
      </c>
      <c r="D32" s="31" t="n"/>
      <c r="E32" s="34" t="n"/>
      <c r="F32" s="94" t="inlineStr">
        <is>
          <t>Table #</t>
        </is>
      </c>
      <c r="G32" s="95">
        <f>IF($C$48=10,1,2)</f>
        <v>1</v>
      </c>
      <c r="H32" s="94" t="inlineStr">
        <is>
          <t>Block #</t>
        </is>
      </c>
      <c r="I32" s="96" t="str">
        <f>IF(ISNUMBER(B14),MOD(B14,10),"")</f>
        <v/>
      </c>
      <c r="J32" s="97" t="n"/>
      <c r="K32" s="97" t="n"/>
      <c r="L32" s="98" t="n"/>
    </row>
    <row r="33" ht="18" customHeight="1">
      <c r="A33" s="42" t="inlineStr">
        <is>
          <t>(G) Left (Longitudinal Location)</t>
        </is>
      </c>
      <c r="B33" s="43" t="n"/>
      <c r="C33" s="99" t="str">
        <f>IF(C53="","",INDEX($C$50:$L$50,MATCH(C53,$C$52:$L$52,0)))</f>
        <v/>
      </c>
      <c r="D33" s="99" t="str">
        <f>IF(D53="","",INDEX($C$50:$L$50,MATCH(D53,$C$52:$L$52,0)))</f>
        <v/>
      </c>
      <c r="E33" s="99" t="str">
        <f>IF(E53="","",INDEX($C$50:$L$50,MATCH(E53,$C$52:$L$52,0)))</f>
        <v/>
      </c>
      <c r="F33" s="99" t="str">
        <f>IF(F53="","",INDEX($C$50:$L$50,MATCH(F53,$C$52:$L$52,0)))</f>
        <v/>
      </c>
      <c r="G33" s="99" t="str">
        <f>IF(G53="","",INDEX($C$50:$L$50,MATCH(G53,$C$52:$L$52,0)))</f>
        <v/>
      </c>
      <c r="H33" s="99" t="str">
        <f>IF(H53="","",INDEX($C$50:$L$50,MATCH(H53,$C$52:$L$52,0)))</f>
        <v/>
      </c>
      <c r="I33" s="99" t="str">
        <f>IF(I53="","",INDEX($C$50:$L$50,MATCH(I53,$C$52:$L$52,0)))</f>
        <v/>
      </c>
      <c r="J33" s="99" t="str">
        <f>IF(J53="","",INDEX($C$50:$L$50,MATCH(J53,$C$52:$L$52,0)))</f>
        <v/>
      </c>
      <c r="K33" s="99" t="str">
        <f>IF(K53="","",INDEX($C$50:$L$50,MATCH(K53,$C$52:$L$52,0)))</f>
        <v/>
      </c>
      <c r="L33" s="100" t="str">
        <f>IF(L53="","",INDEX($C$50:$L$50,MATCH(L53,$C$52:$L$52,0)))</f>
        <v/>
      </c>
    </row>
    <row r="34" ht="18" customHeight="1">
      <c r="A34" s="47" t="inlineStr">
        <is>
          <t>(H) Right (Transverse Location)</t>
        </is>
      </c>
      <c r="B34" s="48" t="n"/>
      <c r="C34" s="101" t="str">
        <f>IF(C53="","",INDEX($C$51:$L$51,MATCH(C53,$C$52:$L$52,0)))</f>
        <v/>
      </c>
      <c r="D34" s="101" t="str">
        <f>IF(D53="","",INDEX($C$51:$L$51,MATCH(D53,$C$52:$L$52,0)))</f>
        <v/>
      </c>
      <c r="E34" s="101" t="str">
        <f>IF(E53="","",INDEX($C$51:$L$51,MATCH(E53,$C$52:$L$52,0)))</f>
        <v/>
      </c>
      <c r="F34" s="101" t="str">
        <f>IF(F53="","",INDEX($C$51:$L$51,MATCH(F53,$C$52:$L$52,0)))</f>
        <v/>
      </c>
      <c r="G34" s="101" t="str">
        <f>IF(G53="","",INDEX($C$51:$L$51,MATCH(G53,$C$52:$L$52,0)))</f>
        <v/>
      </c>
      <c r="H34" s="101" t="str">
        <f>IF(H53="","",INDEX($C$51:$L$51,MATCH(H53,$C$52:$L$52,0)))</f>
        <v/>
      </c>
      <c r="I34" s="101" t="str">
        <f>IF(I53="","",INDEX($C$51:$L$51,MATCH(I53,$C$52:$L$52,0)))</f>
        <v/>
      </c>
      <c r="J34" s="101" t="str">
        <f>IF(J53="","",INDEX($C$51:$L$51,MATCH(J53,$C$52:$L$52,0)))</f>
        <v/>
      </c>
      <c r="K34" s="101" t="str">
        <f>IF(K53="","",INDEX($C$51:$L$51,MATCH(K53,$C$52:$L$52,0)))</f>
        <v/>
      </c>
      <c r="L34" s="102" t="str">
        <f>IF(L53="","",INDEX($C$51:$L$51,MATCH(L53,$C$52:$L$52,0)))</f>
        <v/>
      </c>
    </row>
    <row r="35" ht="18" customHeight="1">
      <c r="A35" s="92" t="inlineStr">
        <is>
          <t>TEST SITE LOCATIONS</t>
        </is>
      </c>
      <c r="B35" s="32" t="n"/>
      <c r="C35" s="103">
        <f>IF((COLUMN()-2)&gt;$C$48,"",(COLUMN()-2))</f>
        <v>1</v>
      </c>
      <c r="D35" s="103">
        <f>IF((COLUMN()-2)&gt;$C$48,"",(COLUMN()-2))</f>
        <v>2</v>
      </c>
      <c r="E35" s="103">
        <f>IF((COLUMN()-2)&gt;$C$48,"",(COLUMN()-2))</f>
        <v>3</v>
      </c>
      <c r="F35" s="103">
        <f>IF((COLUMN()-2)&gt;$C$48,"",(COLUMN()-2))</f>
        <v>4</v>
      </c>
      <c r="G35" s="103">
        <f>IF((COLUMN()-2)&gt;$C$48,"",(COLUMN()-2))</f>
        <v>5</v>
      </c>
      <c r="H35" s="103">
        <f>IF((COLUMN()-2)&gt;$C$48,"",(COLUMN()-2))</f>
        <v>6</v>
      </c>
      <c r="I35" s="103">
        <f>IF((COLUMN()-2)&gt;$C$48,"",(COLUMN()-2))</f>
        <v>7</v>
      </c>
      <c r="J35" s="103">
        <f>IF((COLUMN()-2)&gt;$C$48,"",(COLUMN()-2))</f>
        <v>8</v>
      </c>
      <c r="K35" s="103">
        <f>IF((COLUMN()-2)&gt;$C$48,"",(COLUMN()-2))</f>
        <v>9</v>
      </c>
      <c r="L35" s="104">
        <f>IF((COLUMN()-2)&gt;$C$48,"",(COLUMN()-2))</f>
        <v>10</v>
      </c>
    </row>
    <row r="36" ht="31" customHeight="1">
      <c r="A36" s="105" t="inlineStr">
        <is>
          <t>(I) Longitudinal Distance from Start
      D x G (Round up to Whole Number)</t>
        </is>
      </c>
      <c r="B36" s="57" t="n"/>
      <c r="C36" s="106" t="str">
        <f>IF(OR(C33="",NOT(ISNUMBER($I$14))),"",IF($I$14&lt;=0,"",ROUNDUP($I$14*C33,0)))</f>
        <v/>
      </c>
      <c r="D36" s="106" t="str">
        <f>IF(OR(D33="",NOT(ISNUMBER($I$14))),"",IF($I$14&lt;=0,"",ROUNDUP($I$14*D33,0)))</f>
        <v/>
      </c>
      <c r="E36" s="106" t="str">
        <f>IF(OR(E33="",NOT(ISNUMBER($I$14))),"",IF($I$14&lt;=0,"",ROUNDUP($I$14*E33,0)))</f>
        <v/>
      </c>
      <c r="F36" s="106" t="str">
        <f>IF(OR(F33="",NOT(ISNUMBER($I$14))),"",IF($I$14&lt;=0,"",ROUNDUP($I$14*F33,0)))</f>
        <v/>
      </c>
      <c r="G36" s="106" t="str">
        <f>IF(OR(G33="",NOT(ISNUMBER($I$14))),"",IF($I$14&lt;=0,"",ROUNDUP($I$14*G33,0)))</f>
        <v/>
      </c>
      <c r="H36" s="106" t="str">
        <f>IF(OR(H33="",NOT(ISNUMBER($I$14))),"",IF($I$14&lt;=0,"",ROUNDUP($I$14*H33,0)))</f>
        <v/>
      </c>
      <c r="I36" s="106" t="str">
        <f>IF(OR(I33="",NOT(ISNUMBER($I$14))),"",IF($I$14&lt;=0,"",ROUNDUP($I$14*I33,0)))</f>
        <v/>
      </c>
      <c r="J36" s="106" t="str">
        <f>IF(OR(J33="",NOT(ISNUMBER($I$14))),"",IF($I$14&lt;=0,"",ROUNDUP($I$14*J33,0)))</f>
        <v/>
      </c>
      <c r="K36" s="106" t="str">
        <f>IF(OR(K33="",NOT(ISNUMBER($I$14))),"",IF($I$14&lt;=0,"",ROUNDUP($I$14*K33,0)))</f>
        <v/>
      </c>
      <c r="L36" s="107" t="str">
        <f>IF(OR(L33="",NOT(ISNUMBER($I$14))),"",IF($I$14&lt;=0,"",ROUNDUP($I$14*L33,0)))</f>
        <v/>
      </c>
    </row>
    <row r="37" ht="18" customHeight="1">
      <c r="A37" s="42" t="inlineStr">
        <is>
          <t>(J) Station I + B</t>
        </is>
      </c>
      <c r="B37" s="57" t="n"/>
      <c r="C37" s="108" t="str">
        <f>IF(OR(C36="",NOT(ISNUMBER($C$49))),"",$C$49+C36)</f>
        <v/>
      </c>
      <c r="D37" s="108" t="str">
        <f>IF(OR(D36="",NOT(ISNUMBER($C$49))),"",$C$49+D36)</f>
        <v/>
      </c>
      <c r="E37" s="108" t="str">
        <f>IF(OR(E36="",NOT(ISNUMBER($C$49))),"",$C$49+E36)</f>
        <v/>
      </c>
      <c r="F37" s="108" t="str">
        <f>IF(OR(F36="",NOT(ISNUMBER($C$49))),"",$C$49+F36)</f>
        <v/>
      </c>
      <c r="G37" s="108" t="str">
        <f>IF(OR(G36="",NOT(ISNUMBER($C$49))),"",$C$49+G36)</f>
        <v/>
      </c>
      <c r="H37" s="108" t="str">
        <f>IF(OR(H36="",NOT(ISNUMBER($C$49))),"",$C$49+H36)</f>
        <v/>
      </c>
      <c r="I37" s="108" t="str">
        <f>IF(OR(I36="",NOT(ISNUMBER($C$49))),"",$C$49+I36)</f>
        <v/>
      </c>
      <c r="J37" s="108" t="str">
        <f>IF(OR(J36="",NOT(ISNUMBER($C$49))),"",$C$49+J36)</f>
        <v/>
      </c>
      <c r="K37" s="108" t="str">
        <f>IF(OR(K36="",NOT(ISNUMBER($C$49))),"",$C$49+K36)</f>
        <v/>
      </c>
      <c r="L37" s="109" t="str">
        <f>IF(OR(L36="",NOT(ISNUMBER($C$49))),"",$C$49+L36)</f>
        <v/>
      </c>
    </row>
    <row r="38" ht="31" customHeight="1">
      <c r="A38" s="105" t="inlineStr">
        <is>
          <t>(K) Transverse Distance from Edge
      E x H (Round up to Whole Number)</t>
        </is>
      </c>
      <c r="B38" s="57" t="n"/>
      <c r="C38" s="106" t="str">
        <f>IF(OR(C34="",NOT(ISNUMBER($I$15))),"",IF($I$15&lt;2,"",MIN(MAX(ROUNDUP($I$15*C34,0),1),$I$15-1)))</f>
        <v/>
      </c>
      <c r="D38" s="106" t="str">
        <f>IF(OR(D34="",NOT(ISNUMBER($I$15))),"",IF($I$15&lt;2,"",MIN(MAX(ROUNDUP($I$15*D34,0),1),$I$15-1)))</f>
        <v/>
      </c>
      <c r="E38" s="106" t="str">
        <f>IF(OR(E34="",NOT(ISNUMBER($I$15))),"",IF($I$15&lt;2,"",MIN(MAX(ROUNDUP($I$15*E34,0),1),$I$15-1)))</f>
        <v/>
      </c>
      <c r="F38" s="106" t="str">
        <f>IF(OR(F34="",NOT(ISNUMBER($I$15))),"",IF($I$15&lt;2,"",MIN(MAX(ROUNDUP($I$15*F34,0),1),$I$15-1)))</f>
        <v/>
      </c>
      <c r="G38" s="106" t="str">
        <f>IF(OR(G34="",NOT(ISNUMBER($I$15))),"",IF($I$15&lt;2,"",MIN(MAX(ROUNDUP($I$15*G34,0),1),$I$15-1)))</f>
        <v/>
      </c>
      <c r="H38" s="106" t="str">
        <f>IF(OR(H34="",NOT(ISNUMBER($I$15))),"",IF($I$15&lt;2,"",MIN(MAX(ROUNDUP($I$15*H34,0),1),$I$15-1)))</f>
        <v/>
      </c>
      <c r="I38" s="106" t="str">
        <f>IF(OR(I34="",NOT(ISNUMBER($I$15))),"",IF($I$15&lt;2,"",MIN(MAX(ROUNDUP($I$15*I34,0),1),$I$15-1)))</f>
        <v/>
      </c>
      <c r="J38" s="106" t="str">
        <f>IF(OR(J34="",NOT(ISNUMBER($I$15))),"",IF($I$15&lt;2,"",MIN(MAX(ROUNDUP($I$15*J34,0),1),$I$15-1)))</f>
        <v/>
      </c>
      <c r="K38" s="106" t="str">
        <f>IF(OR(K34="",NOT(ISNUMBER($I$15))),"",IF($I$15&lt;2,"",MIN(MAX(ROUNDUP($I$15*K34,0),1),$I$15-1)))</f>
        <v/>
      </c>
      <c r="L38" s="107" t="str">
        <f>IF(OR(L34="",NOT(ISNUMBER($I$15))),"",IF($I$15&lt;2,"",MIN(MAX(ROUNDUP($I$15*L34,0),1),$I$15-1)))</f>
        <v/>
      </c>
    </row>
    <row r="39" ht="18" customHeight="1">
      <c r="A39" s="110" t="inlineStr">
        <is>
          <t>(L) Gauge Density</t>
        </is>
      </c>
      <c r="B39" s="111" t="inlineStr">
        <is>
          <t>a</t>
        </is>
      </c>
      <c r="C39" s="112" t="n"/>
      <c r="D39" s="112" t="n"/>
      <c r="E39" s="112" t="n"/>
      <c r="F39" s="112" t="n"/>
      <c r="G39" s="112" t="n"/>
      <c r="H39" s="112" t="n"/>
      <c r="I39" s="112" t="n"/>
      <c r="J39" s="112" t="n"/>
      <c r="K39" s="112" t="n"/>
      <c r="L39" s="113" t="n"/>
    </row>
    <row r="40" ht="18" customHeight="1">
      <c r="A40" s="114" t="n"/>
      <c r="B40" s="111" t="inlineStr">
        <is>
          <t>b</t>
        </is>
      </c>
      <c r="C40" s="112" t="n"/>
      <c r="D40" s="112" t="n"/>
      <c r="E40" s="112" t="n"/>
      <c r="F40" s="112" t="n"/>
      <c r="G40" s="112" t="n"/>
      <c r="H40" s="112" t="n"/>
      <c r="I40" s="112" t="n"/>
      <c r="J40" s="112" t="n"/>
      <c r="K40" s="112" t="n"/>
      <c r="L40" s="113" t="n"/>
    </row>
    <row r="41" ht="18" customHeight="1">
      <c r="A41" s="115" t="n"/>
      <c r="B41" s="116" t="inlineStr">
        <is>
          <t>Avg.</t>
        </is>
      </c>
      <c r="C41" s="117" t="str">
        <f>IF(C$35="","",IF(COUNT(C39:C40)&lt;2,"",IF(ROUND(ABS(C39-C40),2)&gt;0.05,"RETEST",ROUND(AVERAGE(C39:C40),2))))</f>
        <v/>
      </c>
      <c r="D41" s="117" t="str">
        <f>IF(D$35="","",IF(COUNT(D39:D40)&lt;2,"",IF(ROUND(ABS(D39-D40),2)&gt;0.05,"RETEST",ROUND(AVERAGE(D39:D40),2))))</f>
        <v/>
      </c>
      <c r="E41" s="117" t="str">
        <f>IF(E$35="","",IF(COUNT(E39:E40)&lt;2,"",IF(ROUND(ABS(E39-E40),2)&gt;0.05,"RETEST",ROUND(AVERAGE(E39:E40),2))))</f>
        <v/>
      </c>
      <c r="F41" s="117" t="str">
        <f>IF(F$35="","",IF(COUNT(F39:F40)&lt;2,"",IF(ROUND(ABS(F39-F40),2)&gt;0.05,"RETEST",ROUND(AVERAGE(F39:F40),2))))</f>
        <v/>
      </c>
      <c r="G41" s="117" t="str">
        <f>IF(G$35="","",IF(COUNT(G39:G40)&lt;2,"",IF(ROUND(ABS(G39-G40),2)&gt;0.05,"RETEST",ROUND(AVERAGE(G39:G40),2))))</f>
        <v/>
      </c>
      <c r="H41" s="117" t="str">
        <f>IF(H$35="","",IF(COUNT(H39:H40)&lt;2,"",IF(ROUND(ABS(H39-H40),2)&gt;0.05,"RETEST",ROUND(AVERAGE(H39:H40),2))))</f>
        <v/>
      </c>
      <c r="I41" s="117" t="str">
        <f>IF(I$35="","",IF(COUNT(I39:I40)&lt;2,"",IF(ROUND(ABS(I39-I40),2)&gt;0.05,"RETEST",ROUND(AVERAGE(I39:I40),2))))</f>
        <v/>
      </c>
      <c r="J41" s="117" t="str">
        <f>IF(J$35="","",IF(COUNT(J39:J40)&lt;2,"",IF(ROUND(ABS(J39-J40),2)&gt;0.05,"RETEST",ROUND(AVERAGE(J39:J40),2))))</f>
        <v/>
      </c>
      <c r="K41" s="117" t="str">
        <f>IF(K$35="","",IF(COUNT(K39:K40)&lt;2,"",IF(ROUND(ABS(K39-K40),2)&gt;0.05,"RETEST",ROUND(AVERAGE(K39:K40),2))))</f>
        <v/>
      </c>
      <c r="L41" s="118" t="str">
        <f>IF(L$35="","",IF(COUNT(L39:L40)&lt;2,"",IF(ROUND(ABS(L39-L40),2)&gt;0.05,"RETEST",ROUND(AVERAGE(L39:L40),2))))</f>
        <v/>
      </c>
    </row>
    <row r="42" ht="18" customHeight="1">
      <c r="A42" s="119" t="inlineStr">
        <is>
          <t>(M) Average In-Place Density (All Sites)</t>
        </is>
      </c>
      <c r="B42" s="31" t="n"/>
      <c r="C42" s="34" t="n"/>
      <c r="D42" s="120" t="str">
        <f>IF(COUNT($C$41:$L$41)=0,"",IF(COUNT($C$41:$L$41)&lt;$C$48,COUNT($C$41:$L$41)&amp;" of "&amp;$C$48&amp;" sites",ROUND(AVERAGE($C$41:$L$41),2)))</f>
        <v/>
      </c>
      <c r="E42" s="32" t="n"/>
      <c r="F42" s="119" t="inlineStr">
        <is>
          <t>(P) Not Used</t>
        </is>
      </c>
      <c r="G42" s="31" t="n"/>
      <c r="H42" s="31" t="n"/>
      <c r="I42" s="31" t="n"/>
      <c r="J42" s="34" t="n"/>
      <c r="K42" s="121" t="n"/>
      <c r="L42" s="32" t="n"/>
    </row>
    <row r="43" ht="18" customHeight="1">
      <c r="A43" s="42" t="inlineStr">
        <is>
          <t>After Exclusions (Test Strips Only)</t>
        </is>
      </c>
      <c r="B43" s="53" t="n"/>
      <c r="C43" s="43" t="n"/>
      <c r="D43" s="122" t="n"/>
      <c r="E43" s="38" t="n"/>
      <c r="F43" s="42" t="inlineStr">
        <is>
          <t>(Q) Not Used</t>
        </is>
      </c>
      <c r="G43" s="53" t="n"/>
      <c r="H43" s="53" t="n"/>
      <c r="I43" s="53" t="n"/>
      <c r="J43" s="43" t="n"/>
      <c r="K43" s="123" t="n"/>
      <c r="L43" s="57" t="n"/>
    </row>
    <row r="44" ht="18" customHeight="1">
      <c r="A44" s="42" t="inlineStr">
        <is>
          <t>(N) Correlation Factor (Gauge to Cores)</t>
        </is>
      </c>
      <c r="B44" s="53" t="n"/>
      <c r="C44" s="43" t="n"/>
      <c r="D44" s="124" t="str">
        <f>IF(ISNUMBER($K$23),$K$23,"")</f>
        <v/>
      </c>
      <c r="E44" s="38" t="n"/>
      <c r="F44" s="42" t="inlineStr">
        <is>
          <t>(R) Maximum Theoretical Specific Gravity (Gmm)</t>
        </is>
      </c>
      <c r="G44" s="53" t="n"/>
      <c r="H44" s="53" t="n"/>
      <c r="I44" s="53" t="n"/>
      <c r="J44" s="43" t="n"/>
      <c r="K44" s="125" t="str">
        <f>IF(ISNUMBER($K$16),$K$16,"")</f>
        <v/>
      </c>
      <c r="L44" s="57" t="n"/>
    </row>
    <row r="45" ht="18" customHeight="1">
      <c r="A45" s="47" t="inlineStr">
        <is>
          <t>(O) Corrected In-Place Density (M + N)</t>
        </is>
      </c>
      <c r="B45" s="60" t="n"/>
      <c r="C45" s="48" t="n"/>
      <c r="D45" s="126" t="str">
        <f>IF(AND(ISNUMBER(D42),ISNUMBER(D44)),ROUND(D42+D44,2),"")</f>
        <v/>
      </c>
      <c r="E45" s="61" t="n"/>
      <c r="F45" s="47" t="inlineStr">
        <is>
          <t>(S) Relative Density (O / R), %</t>
        </is>
      </c>
      <c r="G45" s="60" t="n"/>
      <c r="H45" s="60" t="n"/>
      <c r="I45" s="60" t="n"/>
      <c r="J45" s="48" t="n"/>
      <c r="K45" s="127" t="str">
        <f>IF(AND(ISNUMBER(D45),ISNUMBER(K44)),IF(K44&gt;0,ROUND(D45/K44*100,1),""),"")</f>
        <v/>
      </c>
      <c r="L45" s="61" t="n"/>
    </row>
    <row r="46" ht="28" customHeight="1">
      <c r="A46" s="128" t="inlineStr">
        <is>
          <t>Americans with Disabilities Act (ADA) Notice: This document is available in alternative accessible formats. For more information, please contact the Forms Management Unit at (279) 234-2284, TTY 711, in writing at Forms Management Unit, 1120 N Street, MS-89, Sacramento, CA 95814, or by email at Forms.Management.Unit@dot.ca.gov.</t>
        </is>
      </c>
      <c r="B46" s="3" t="n"/>
      <c r="C46" s="3" t="n"/>
      <c r="D46" s="3" t="n"/>
      <c r="E46" s="3" t="n"/>
      <c r="F46" s="3" t="n"/>
      <c r="G46" s="3" t="n"/>
      <c r="H46" s="3" t="n"/>
      <c r="I46" s="3" t="n"/>
      <c r="J46" s="3" t="n"/>
      <c r="K46" s="3" t="n"/>
      <c r="L46" s="4" t="n"/>
    </row>
    <row r="47" hidden="1">
      <c r="A47" s="129" t="inlineStr">
        <is>
          <t>Helpers for the formulas above. Do not edit.</t>
        </is>
      </c>
    </row>
    <row r="48" hidden="1">
      <c r="A48" s="129" t="inlineStr">
        <is>
          <t>Sites / block in use</t>
        </is>
      </c>
      <c r="C48">
        <f>IF(ISNUMBER(F25),MIN(10,MAX(1,INT(F25))),10)</f>
        <v>10</v>
      </c>
      <c r="D48" t="str">
        <f>IF(I32="","",IF(ISNUMBER(I32),MOD(INT(I32),10),IFERROR(MOD(INT(VALUE(I32)),10),"")))</f>
        <v/>
      </c>
    </row>
    <row r="49" hidden="1">
      <c r="A49" s="129" t="inlineStr">
        <is>
          <t>Start / finish station</t>
        </is>
      </c>
      <c r="C49" t="str">
        <f>IF(ISNUMBER(I12),I12,IF(TRIM(I12)="","",IFERROR(VALUE(SUBSTITUTE(SUBSTITUTE(TRIM(I12),"+","")," ","")),"")))</f>
        <v/>
      </c>
      <c r="D49" t="str">
        <f>IF(ISNUMBER(I13),I13,IF(TRIM(I13)="","",IFERROR(VALUE(SUBSTITUTE(SUBSTITUTE(TRIM(I13),"+","")," ","")),"")))</f>
        <v/>
      </c>
    </row>
    <row r="50" hidden="1">
      <c r="A50" s="129" t="inlineStr">
        <is>
          <t>Pairs from the table: longit.</t>
        </is>
      </c>
      <c r="C50" t="str">
        <f>IF(OR($D$48="",(COLUMN()-2)&gt;$C$48),"",IF($G$32=1,IF($D$48&lt;5,INDEX('Table 1'!$B$5:$K$14,(COLUMN()-2),2*$D$48+1),INDEX('Table 1'!$B$17:$K$26,(COLUMN()-2),2*($D$48-5)+1)),IF($D$48&lt;5,INDEX('Table 2'!$B$5:$K$13,(COLUMN()-2),2*$D$48+1),INDEX('Table 2'!$B$16:$K$24,(COLUMN()-2),2*($D$48-5)+1))))</f>
        <v/>
      </c>
      <c r="D50" t="str">
        <f>IF(OR($D$48="",(COLUMN()-2)&gt;$C$48),"",IF($G$32=1,IF($D$48&lt;5,INDEX('Table 1'!$B$5:$K$14,(COLUMN()-2),2*$D$48+1),INDEX('Table 1'!$B$17:$K$26,(COLUMN()-2),2*($D$48-5)+1)),IF($D$48&lt;5,INDEX('Table 2'!$B$5:$K$13,(COLUMN()-2),2*$D$48+1),INDEX('Table 2'!$B$16:$K$24,(COLUMN()-2),2*($D$48-5)+1))))</f>
        <v/>
      </c>
      <c r="E50" t="str">
        <f>IF(OR($D$48="",(COLUMN()-2)&gt;$C$48),"",IF($G$32=1,IF($D$48&lt;5,INDEX('Table 1'!$B$5:$K$14,(COLUMN()-2),2*$D$48+1),INDEX('Table 1'!$B$17:$K$26,(COLUMN()-2),2*($D$48-5)+1)),IF($D$48&lt;5,INDEX('Table 2'!$B$5:$K$13,(COLUMN()-2),2*$D$48+1),INDEX('Table 2'!$B$16:$K$24,(COLUMN()-2),2*($D$48-5)+1))))</f>
        <v/>
      </c>
      <c r="F50" t="str">
        <f>IF(OR($D$48="",(COLUMN()-2)&gt;$C$48),"",IF($G$32=1,IF($D$48&lt;5,INDEX('Table 1'!$B$5:$K$14,(COLUMN()-2),2*$D$48+1),INDEX('Table 1'!$B$17:$K$26,(COLUMN()-2),2*($D$48-5)+1)),IF($D$48&lt;5,INDEX('Table 2'!$B$5:$K$13,(COLUMN()-2),2*$D$48+1),INDEX('Table 2'!$B$16:$K$24,(COLUMN()-2),2*($D$48-5)+1))))</f>
        <v/>
      </c>
      <c r="G50" t="str">
        <f>IF(OR($D$48="",(COLUMN()-2)&gt;$C$48),"",IF($G$32=1,IF($D$48&lt;5,INDEX('Table 1'!$B$5:$K$14,(COLUMN()-2),2*$D$48+1),INDEX('Table 1'!$B$17:$K$26,(COLUMN()-2),2*($D$48-5)+1)),IF($D$48&lt;5,INDEX('Table 2'!$B$5:$K$13,(COLUMN()-2),2*$D$48+1),INDEX('Table 2'!$B$16:$K$24,(COLUMN()-2),2*($D$48-5)+1))))</f>
        <v/>
      </c>
      <c r="H50" t="str">
        <f>IF(OR($D$48="",(COLUMN()-2)&gt;$C$48),"",IF($G$32=1,IF($D$48&lt;5,INDEX('Table 1'!$B$5:$K$14,(COLUMN()-2),2*$D$48+1),INDEX('Table 1'!$B$17:$K$26,(COLUMN()-2),2*($D$48-5)+1)),IF($D$48&lt;5,INDEX('Table 2'!$B$5:$K$13,(COLUMN()-2),2*$D$48+1),INDEX('Table 2'!$B$16:$K$24,(COLUMN()-2),2*($D$48-5)+1))))</f>
        <v/>
      </c>
      <c r="I50" t="str">
        <f>IF(OR($D$48="",(COLUMN()-2)&gt;$C$48),"",IF($G$32=1,IF($D$48&lt;5,INDEX('Table 1'!$B$5:$K$14,(COLUMN()-2),2*$D$48+1),INDEX('Table 1'!$B$17:$K$26,(COLUMN()-2),2*($D$48-5)+1)),IF($D$48&lt;5,INDEX('Table 2'!$B$5:$K$13,(COLUMN()-2),2*$D$48+1),INDEX('Table 2'!$B$16:$K$24,(COLUMN()-2),2*($D$48-5)+1))))</f>
        <v/>
      </c>
      <c r="J50" t="str">
        <f>IF(OR($D$48="",(COLUMN()-2)&gt;$C$48),"",IF($G$32=1,IF($D$48&lt;5,INDEX('Table 1'!$B$5:$K$14,(COLUMN()-2),2*$D$48+1),INDEX('Table 1'!$B$17:$K$26,(COLUMN()-2),2*($D$48-5)+1)),IF($D$48&lt;5,INDEX('Table 2'!$B$5:$K$13,(COLUMN()-2),2*$D$48+1),INDEX('Table 2'!$B$16:$K$24,(COLUMN()-2),2*($D$48-5)+1))))</f>
        <v/>
      </c>
      <c r="K50" t="str">
        <f>IF(OR($D$48="",(COLUMN()-2)&gt;$C$48),"",IF($G$32=1,IF($D$48&lt;5,INDEX('Table 1'!$B$5:$K$14,(COLUMN()-2),2*$D$48+1),INDEX('Table 1'!$B$17:$K$26,(COLUMN()-2),2*($D$48-5)+1)),IF($D$48&lt;5,INDEX('Table 2'!$B$5:$K$13,(COLUMN()-2),2*$D$48+1),INDEX('Table 2'!$B$16:$K$24,(COLUMN()-2),2*($D$48-5)+1))))</f>
        <v/>
      </c>
      <c r="L50" t="str">
        <f>IF(OR($D$48="",(COLUMN()-2)&gt;$C$48),"",IF($G$32=1,IF($D$48&lt;5,INDEX('Table 1'!$B$5:$K$14,(COLUMN()-2),2*$D$48+1),INDEX('Table 1'!$B$17:$K$26,(COLUMN()-2),2*($D$48-5)+1)),IF($D$48&lt;5,INDEX('Table 2'!$B$5:$K$13,(COLUMN()-2),2*$D$48+1),INDEX('Table 2'!$B$16:$K$24,(COLUMN()-2),2*($D$48-5)+1))))</f>
        <v/>
      </c>
    </row>
    <row r="51" hidden="1">
      <c r="A51" s="129" t="inlineStr">
        <is>
          <t>Pairs from the table: trans.</t>
        </is>
      </c>
      <c r="C51" t="str">
        <f>IF(OR($D$48="",(COLUMN()-2)&gt;$C$48),"",IF($G$32=1,IF($D$48&lt;5,INDEX('Table 1'!$B$5:$K$14,(COLUMN()-2),2*$D$48+2),INDEX('Table 1'!$B$17:$K$26,(COLUMN()-2),2*($D$48-5)+2)),IF($D$48&lt;5,INDEX('Table 2'!$B$5:$K$13,(COLUMN()-2),2*$D$48+2),INDEX('Table 2'!$B$16:$K$24,(COLUMN()-2),2*($D$48-5)+2))))</f>
        <v/>
      </c>
      <c r="D51" t="str">
        <f>IF(OR($D$48="",(COLUMN()-2)&gt;$C$48),"",IF($G$32=1,IF($D$48&lt;5,INDEX('Table 1'!$B$5:$K$14,(COLUMN()-2),2*$D$48+2),INDEX('Table 1'!$B$17:$K$26,(COLUMN()-2),2*($D$48-5)+2)),IF($D$48&lt;5,INDEX('Table 2'!$B$5:$K$13,(COLUMN()-2),2*$D$48+2),INDEX('Table 2'!$B$16:$K$24,(COLUMN()-2),2*($D$48-5)+2))))</f>
        <v/>
      </c>
      <c r="E51" t="str">
        <f>IF(OR($D$48="",(COLUMN()-2)&gt;$C$48),"",IF($G$32=1,IF($D$48&lt;5,INDEX('Table 1'!$B$5:$K$14,(COLUMN()-2),2*$D$48+2),INDEX('Table 1'!$B$17:$K$26,(COLUMN()-2),2*($D$48-5)+2)),IF($D$48&lt;5,INDEX('Table 2'!$B$5:$K$13,(COLUMN()-2),2*$D$48+2),INDEX('Table 2'!$B$16:$K$24,(COLUMN()-2),2*($D$48-5)+2))))</f>
        <v/>
      </c>
      <c r="F51" t="str">
        <f>IF(OR($D$48="",(COLUMN()-2)&gt;$C$48),"",IF($G$32=1,IF($D$48&lt;5,INDEX('Table 1'!$B$5:$K$14,(COLUMN()-2),2*$D$48+2),INDEX('Table 1'!$B$17:$K$26,(COLUMN()-2),2*($D$48-5)+2)),IF($D$48&lt;5,INDEX('Table 2'!$B$5:$K$13,(COLUMN()-2),2*$D$48+2),INDEX('Table 2'!$B$16:$K$24,(COLUMN()-2),2*($D$48-5)+2))))</f>
        <v/>
      </c>
      <c r="G51" t="str">
        <f>IF(OR($D$48="",(COLUMN()-2)&gt;$C$48),"",IF($G$32=1,IF($D$48&lt;5,INDEX('Table 1'!$B$5:$K$14,(COLUMN()-2),2*$D$48+2),INDEX('Table 1'!$B$17:$K$26,(COLUMN()-2),2*($D$48-5)+2)),IF($D$48&lt;5,INDEX('Table 2'!$B$5:$K$13,(COLUMN()-2),2*$D$48+2),INDEX('Table 2'!$B$16:$K$24,(COLUMN()-2),2*($D$48-5)+2))))</f>
        <v/>
      </c>
      <c r="H51" t="str">
        <f>IF(OR($D$48="",(COLUMN()-2)&gt;$C$48),"",IF($G$32=1,IF($D$48&lt;5,INDEX('Table 1'!$B$5:$K$14,(COLUMN()-2),2*$D$48+2),INDEX('Table 1'!$B$17:$K$26,(COLUMN()-2),2*($D$48-5)+2)),IF($D$48&lt;5,INDEX('Table 2'!$B$5:$K$13,(COLUMN()-2),2*$D$48+2),INDEX('Table 2'!$B$16:$K$24,(COLUMN()-2),2*($D$48-5)+2))))</f>
        <v/>
      </c>
      <c r="I51" t="str">
        <f>IF(OR($D$48="",(COLUMN()-2)&gt;$C$48),"",IF($G$32=1,IF($D$48&lt;5,INDEX('Table 1'!$B$5:$K$14,(COLUMN()-2),2*$D$48+2),INDEX('Table 1'!$B$17:$K$26,(COLUMN()-2),2*($D$48-5)+2)),IF($D$48&lt;5,INDEX('Table 2'!$B$5:$K$13,(COLUMN()-2),2*$D$48+2),INDEX('Table 2'!$B$16:$K$24,(COLUMN()-2),2*($D$48-5)+2))))</f>
        <v/>
      </c>
      <c r="J51" t="str">
        <f>IF(OR($D$48="",(COLUMN()-2)&gt;$C$48),"",IF($G$32=1,IF($D$48&lt;5,INDEX('Table 1'!$B$5:$K$14,(COLUMN()-2),2*$D$48+2),INDEX('Table 1'!$B$17:$K$26,(COLUMN()-2),2*($D$48-5)+2)),IF($D$48&lt;5,INDEX('Table 2'!$B$5:$K$13,(COLUMN()-2),2*$D$48+2),INDEX('Table 2'!$B$16:$K$24,(COLUMN()-2),2*($D$48-5)+2))))</f>
        <v/>
      </c>
      <c r="K51" t="str">
        <f>IF(OR($D$48="",(COLUMN()-2)&gt;$C$48),"",IF($G$32=1,IF($D$48&lt;5,INDEX('Table 1'!$B$5:$K$14,(COLUMN()-2),2*$D$48+2),INDEX('Table 1'!$B$17:$K$26,(COLUMN()-2),2*($D$48-5)+2)),IF($D$48&lt;5,INDEX('Table 2'!$B$5:$K$13,(COLUMN()-2),2*$D$48+2),INDEX('Table 2'!$B$16:$K$24,(COLUMN()-2),2*($D$48-5)+2))))</f>
        <v/>
      </c>
      <c r="L51" t="str">
        <f>IF(OR($D$48="",(COLUMN()-2)&gt;$C$48),"",IF($G$32=1,IF($D$48&lt;5,INDEX('Table 1'!$B$5:$K$14,(COLUMN()-2),2*$D$48+2),INDEX('Table 1'!$B$17:$K$26,(COLUMN()-2),2*($D$48-5)+2)),IF($D$48&lt;5,INDEX('Table 2'!$B$5:$K$13,(COLUMN()-2),2*$D$48+2),INDEX('Table 2'!$B$16:$K$24,(COLUMN()-2),2*($D$48-5)+2))))</f>
        <v/>
      </c>
    </row>
    <row r="52" hidden="1">
      <c r="A52" s="129" t="inlineStr">
        <is>
          <t>Sort key</t>
        </is>
      </c>
      <c r="C52" t="str">
        <f>IF(C50="","",C50+(COLUMN()-2)/1000000)</f>
        <v/>
      </c>
      <c r="D52" t="str">
        <f>IF(D50="","",D50+(COLUMN()-2)/1000000)</f>
        <v/>
      </c>
      <c r="E52" t="str">
        <f>IF(E50="","",E50+(COLUMN()-2)/1000000)</f>
        <v/>
      </c>
      <c r="F52" t="str">
        <f>IF(F50="","",F50+(COLUMN()-2)/1000000)</f>
        <v/>
      </c>
      <c r="G52" t="str">
        <f>IF(G50="","",G50+(COLUMN()-2)/1000000)</f>
        <v/>
      </c>
      <c r="H52" t="str">
        <f>IF(H50="","",H50+(COLUMN()-2)/1000000)</f>
        <v/>
      </c>
      <c r="I52" t="str">
        <f>IF(I50="","",I50+(COLUMN()-2)/1000000)</f>
        <v/>
      </c>
      <c r="J52" t="str">
        <f>IF(J50="","",J50+(COLUMN()-2)/1000000)</f>
        <v/>
      </c>
      <c r="K52" t="str">
        <f>IF(K50="","",K50+(COLUMN()-2)/1000000)</f>
        <v/>
      </c>
      <c r="L52" t="str">
        <f>IF(L50="","",L50+(COLUMN()-2)/1000000)</f>
        <v/>
      </c>
    </row>
    <row r="53" hidden="1">
      <c r="A53" s="129" t="inlineStr">
        <is>
          <t>Sorted key</t>
        </is>
      </c>
      <c r="C53" t="str">
        <f>IF((COLUMN()-2)&gt;COUNT($C$52:$L$52),"",SMALL($C$52:$L$52,(COLUMN()-2)))</f>
        <v/>
      </c>
      <c r="D53" t="str">
        <f>IF((COLUMN()-2)&gt;COUNT($C$52:$L$52),"",SMALL($C$52:$L$52,(COLUMN()-2)))</f>
        <v/>
      </c>
      <c r="E53" t="str">
        <f>IF((COLUMN()-2)&gt;COUNT($C$52:$L$52),"",SMALL($C$52:$L$52,(COLUMN()-2)))</f>
        <v/>
      </c>
      <c r="F53" t="str">
        <f>IF((COLUMN()-2)&gt;COUNT($C$52:$L$52),"",SMALL($C$52:$L$52,(COLUMN()-2)))</f>
        <v/>
      </c>
      <c r="G53" t="str">
        <f>IF((COLUMN()-2)&gt;COUNT($C$52:$L$52),"",SMALL($C$52:$L$52,(COLUMN()-2)))</f>
        <v/>
      </c>
      <c r="H53" t="str">
        <f>IF((COLUMN()-2)&gt;COUNT($C$52:$L$52),"",SMALL($C$52:$L$52,(COLUMN()-2)))</f>
        <v/>
      </c>
      <c r="I53" t="str">
        <f>IF((COLUMN()-2)&gt;COUNT($C$52:$L$52),"",SMALL($C$52:$L$52,(COLUMN()-2)))</f>
        <v/>
      </c>
      <c r="J53" t="str">
        <f>IF((COLUMN()-2)&gt;COUNT($C$52:$L$52),"",SMALL($C$52:$L$52,(COLUMN()-2)))</f>
        <v/>
      </c>
      <c r="K53" t="str">
        <f>IF((COLUMN()-2)&gt;COUNT($C$52:$L$52),"",SMALL($C$52:$L$52,(COLUMN()-2)))</f>
        <v/>
      </c>
      <c r="L53" t="str">
        <f>IF((COLUMN()-2)&gt;COUNT($C$52:$L$52),"",SMALL($C$52:$L$52,(COLUMN()-2)))</f>
        <v/>
      </c>
    </row>
  </sheetData>
  <sheetProtection selectLockedCells="1" selectUnlockedCells="0" sheet="1" objects="1" insertRows="1" insertHyperlinks="1" autoFilter="1" scenarios="1" formatColumns="0" deleteColumns="1" insertColumns="1" pivotTables="1" deleteRows="1" formatCells="1" formatRows="0" sort="1"/>
  <mergeCells count="108">
    <mergeCell ref="G21:H21"/>
    <mergeCell ref="I14:L14"/>
    <mergeCell ref="A23:J23"/>
    <mergeCell ref="F5:H5"/>
    <mergeCell ref="A46:L46"/>
    <mergeCell ref="A11:E11"/>
    <mergeCell ref="D45:E45"/>
    <mergeCell ref="A26:L26"/>
    <mergeCell ref="F45:J45"/>
    <mergeCell ref="G18:H18"/>
    <mergeCell ref="A43:C43"/>
    <mergeCell ref="I18:J18"/>
    <mergeCell ref="A3:H3"/>
    <mergeCell ref="F14:H14"/>
    <mergeCell ref="A33:B33"/>
    <mergeCell ref="K42:L42"/>
    <mergeCell ref="B14:E14"/>
    <mergeCell ref="A35:B35"/>
    <mergeCell ref="G20:H20"/>
    <mergeCell ref="I20:J20"/>
    <mergeCell ref="B13:E13"/>
    <mergeCell ref="A19:B19"/>
    <mergeCell ref="C19:D19"/>
    <mergeCell ref="F12:H12"/>
    <mergeCell ref="B25:C25"/>
    <mergeCell ref="F10:G10"/>
    <mergeCell ref="F6:G6"/>
    <mergeCell ref="A6:E6"/>
    <mergeCell ref="K21:L21"/>
    <mergeCell ref="I13:L13"/>
    <mergeCell ref="A37:B37"/>
    <mergeCell ref="I15:L15"/>
    <mergeCell ref="C32:E32"/>
    <mergeCell ref="K43:L43"/>
    <mergeCell ref="A44:C44"/>
    <mergeCell ref="H7:L7"/>
    <mergeCell ref="A31:L31"/>
    <mergeCell ref="A5:E5"/>
    <mergeCell ref="I32:L32"/>
    <mergeCell ref="F9:G9"/>
    <mergeCell ref="A24:L24"/>
    <mergeCell ref="A4:E4"/>
    <mergeCell ref="G25:H25"/>
    <mergeCell ref="I19:J19"/>
    <mergeCell ref="K19:L19"/>
    <mergeCell ref="C18:D18"/>
    <mergeCell ref="E18:F18"/>
    <mergeCell ref="F15:H15"/>
    <mergeCell ref="A34:B34"/>
    <mergeCell ref="K16:L16"/>
    <mergeCell ref="A22:J22"/>
    <mergeCell ref="B15:E15"/>
    <mergeCell ref="K5:L5"/>
    <mergeCell ref="A36:B36"/>
    <mergeCell ref="K45:L45"/>
    <mergeCell ref="F7:G7"/>
    <mergeCell ref="C20:D20"/>
    <mergeCell ref="A2:L2"/>
    <mergeCell ref="A42:C42"/>
    <mergeCell ref="E20:F20"/>
    <mergeCell ref="A16:E16"/>
    <mergeCell ref="F13:H13"/>
    <mergeCell ref="H6:L6"/>
    <mergeCell ref="K44:L44"/>
    <mergeCell ref="F11:L11"/>
    <mergeCell ref="F8:G8"/>
    <mergeCell ref="I21:J21"/>
    <mergeCell ref="A21:B21"/>
    <mergeCell ref="A29:L29"/>
    <mergeCell ref="C21:D21"/>
    <mergeCell ref="A32:B32"/>
    <mergeCell ref="K23:L23"/>
    <mergeCell ref="D25:E25"/>
    <mergeCell ref="A38:B38"/>
    <mergeCell ref="B12:D12"/>
    <mergeCell ref="K18:L18"/>
    <mergeCell ref="H8:L8"/>
    <mergeCell ref="F44:J44"/>
    <mergeCell ref="F16:J16"/>
    <mergeCell ref="H10:L10"/>
    <mergeCell ref="A1:H1"/>
    <mergeCell ref="A27:L27"/>
    <mergeCell ref="H9:L9"/>
    <mergeCell ref="K20:L20"/>
    <mergeCell ref="A7:E7"/>
    <mergeCell ref="E19:F19"/>
    <mergeCell ref="G19:H19"/>
    <mergeCell ref="F42:J42"/>
    <mergeCell ref="A17:L17"/>
    <mergeCell ref="A18:B18"/>
    <mergeCell ref="K22:L22"/>
    <mergeCell ref="D43:E43"/>
    <mergeCell ref="A28:L28"/>
    <mergeCell ref="F4:H4"/>
    <mergeCell ref="I5:J5"/>
    <mergeCell ref="A8:E8"/>
    <mergeCell ref="A30:L30"/>
    <mergeCell ref="A20:B20"/>
    <mergeCell ref="I4:J4"/>
    <mergeCell ref="F43:J43"/>
    <mergeCell ref="D42:E42"/>
    <mergeCell ref="A45:C45"/>
    <mergeCell ref="A10:E10"/>
    <mergeCell ref="I12:L12"/>
    <mergeCell ref="K4:L4"/>
    <mergeCell ref="D44:E44"/>
    <mergeCell ref="A9:E9"/>
    <mergeCell ref="E21:F21"/>
  </mergeCells>
  <conditionalFormatting sqref="E12">
    <cfRule type="containsText" priority="1" operator="containsText" dxfId="0" text="12 MO">
      <formula>NOT(ISERROR(SEARCH("12 MO",E12)))</formula>
    </cfRule>
  </conditionalFormatting>
  <conditionalFormatting sqref="I14">
    <cfRule type="containsText" priority="2" operator="containsText" dxfId="0" text="CHECK">
      <formula>NOT(ISERROR(SEARCH("CHECK",I14)))</formula>
    </cfRule>
  </conditionalFormatting>
  <conditionalFormatting sqref="F25">
    <cfRule type="containsText" priority="3" operator="containsText" dxfId="0" text="MAX">
      <formula>NOT(ISERROR(SEARCH("MAX",F25)))</formula>
    </cfRule>
  </conditionalFormatting>
  <conditionalFormatting sqref="L25">
    <cfRule type="cellIs" priority="4" operator="equal" dxfId="1">
      <formula>"PASS"</formula>
    </cfRule>
    <cfRule type="cellIs" priority="5" operator="equal" dxfId="0">
      <formula>"LOW"</formula>
    </cfRule>
    <cfRule type="cellIs" priority="6" operator="equal" dxfId="0">
      <formula>"HIGH"</formula>
    </cfRule>
  </conditionalFormatting>
  <conditionalFormatting sqref="C41:L41">
    <cfRule type="containsText" priority="7" operator="containsText" dxfId="0" text="RETEST">
      <formula>NOT(ISERROR(SEARCH("RETEST",C41)))</formula>
    </cfRule>
  </conditionalFormatting>
  <conditionalFormatting sqref="K45">
    <cfRule type="cellIs" priority="8" operator="between" dxfId="1">
      <formula>$I$25</formula>
      <formula>$J$25</formula>
    </cfRule>
  </conditionalFormatting>
  <dataValidations count="20">
    <dataValidation sqref="A5:E5" showDropDown="0" showInputMessage="1" showErrorMessage="0" allowBlank="1" errorTitle="Project" error="Contract / EA, Co-Rte-PM and a description, one per line. Enter goes to the next line." promptTitle="Project" prompt="Contract / EA, Co-Rte-PM and a description, one per line. Enter goes to the next line." errorStyle="stop"/>
    <dataValidation sqref="K5:L5" showDropDown="0" showInputMessage="1" showErrorMessage="1" allowBlank="1" errorTitle="Date" error="Enter a date, e.g. 6/11/2026." promptTitle="Date" prompt="Test date, e.g. 6/11/2026." type="date" errorStyle="stop" operator="between">
      <formula1>DATE(1990,1,1)</formula1>
      <formula2>DATE(2100,12,31)</formula2>
    </dataValidation>
    <dataValidation sqref="H10:L10" showDropDown="0" showInputMessage="1" showErrorMessage="1" allowBlank="1" errorTitle="Lift Thickness, ft" error="Enter the thickness in feet, e.g. 0.18." promptTitle="Lift Thickness, ft" prompt="Compacted thickness in feet, e.g. 0.18. CT 375 applies to lifts of 0.10 ft or more." type="decimal" errorStyle="warning" operator="between">
      <formula1>0.05</formula1>
      <formula2>1</formula2>
    </dataValidation>
    <dataValidation sqref="B12:D12" showDropDown="0" showInputMessage="1" showErrorMessage="1" allowBlank="1" errorTitle="Date of Last Calibration" error="Enter a date, e.g. 12/5/2025." promptTitle="Date of Last Calibration" prompt="Must be within 12 months of the test date (CT 375 1B); shows &gt; 12 MO if not." type="date" errorStyle="stop" operator="between">
      <formula1>DATE(1990,1,1)</formula1>
      <formula2>DATE(2100,12,31)</formula2>
    </dataValidation>
    <dataValidation sqref="B14:E14" showDropDown="0" showInputMessage="1" showErrorMessage="1" allowBlank="1" errorTitle="(A) Standard Count" error="Enter the standard count as a whole number." promptTitle="(A) Standard Count" prompt="Today's 4-minute count on the reference block. Its last digit picks the random-number block." type="whole" errorStyle="stop" operator="between">
      <formula1>1</formula1>
      <formula2>999999</formula2>
    </dataValidation>
    <dataValidation sqref="I12:L12" showDropDown="0" showInputMessage="1" showErrorMessage="0" allowBlank="1" errorTitle="(B) Start Station" error="Type the station either way: 69859 or 698+59." promptTitle="(B) Start Station" prompt="Type the station either way: 69859 or 698+59." errorStyle="stop"/>
    <dataValidation sqref="I13:L13" showDropDown="0" showInputMessage="1" showErrorMessage="0" allowBlank="1" errorTitle="(C) Finish Station" error="Type the station either way: 69859 or 698+59." promptTitle="(C) Finish Station" prompt="Type the station either way: 69859 or 698+59." errorStyle="stop"/>
    <dataValidation sqref="I15:L15" showDropDown="0" showInputMessage="1" showErrorMessage="1" allowBlank="1" errorTitle="(E) Lane Width, ft" error="Enter the lane width in feet, e.g. 12." promptTitle="(E) Lane Width, ft" prompt="Width of the lane being tested, in feet." type="decimal" errorStyle="stop" operator="between">
      <formula1>2</formula1>
      <formula2>200</formula2>
    </dataValidation>
    <dataValidation sqref="K16:L16" showDropDown="0" showInputMessage="1" showErrorMessage="1" allowBlank="1" errorTitle="(F) Gmm" error="Enter Gmm, e.g. 2.512." promptTitle="(F) Gmm" prompt="Maximum theoretical specific gravity (AASHTO T 209), e.g. 2.512. Line R repeats it." type="decimal" errorStyle="stop" operator="between">
      <formula1>1.5</formula1>
      <formula2>3.5</formula2>
    </dataValidation>
    <dataValidation sqref="C19:L19" showDropDown="0" showInputMessage="1" showErrorMessage="1" allowBlank="1" errorTitle="Core Density" error="Enter a density, e.g. 2.385." promptTitle="Core Density" prompt="Core density (AASHTO T 275 bulk specific gravity) at this location." type="decimal" errorStyle="stop" operator="between">
      <formula1>1</formula1>
      <formula2>3.5</formula2>
    </dataValidation>
    <dataValidation sqref="C20:L20" showDropDown="0" showInputMessage="1" showErrorMessage="1" allowBlank="1" errorTitle="Gauge Density" error="Enter a density in g/cc, e.g. 2.36." promptTitle="Gauge Density" prompt="Gauge density at the same spot, before coring, in g/cc." type="decimal" errorStyle="stop" operator="between">
      <formula1>1</formula1>
      <formula2>3.5</formula2>
    </dataValidation>
    <dataValidation sqref="B25:C25" showDropDown="0" showInputMessage="1" showErrorMessage="1" allowBlank="1" errorTitle="Tons in the test area" error="Enter the tonnage as a number." promptTitle="Tons in the test area" prompt="Sets the number of test sites (CT 375 3A): 1 per 50 t or portion, at least 5, 10 for 451-500 t." type="decimal" errorStyle="stop" operator="between">
      <formula1>0.01</formula1>
      <formula2>1000000</formula2>
    </dataValidation>
    <dataValidation sqref="F25" showDropDown="0" showInputMessage="1" showErrorMessage="1" allowBlank="1" errorTitle="Test sites" error="Enter a whole number from 1 to 10." promptTitle="Test sites" prompt="From the tonnage (CT 375 3A). Type 1-10 to set it yourself." type="whole" errorStyle="stop" operator="between">
      <formula1>1</formula1>
      <formula2>10</formula2>
    </dataValidation>
    <dataValidation sqref="A26:L31" showDropDown="0" showInputMessage="1" showErrorMessage="0" allowBlank="1" errorTitle="Field Notes" error="One line per row: press Enter for the next line." promptTitle="Field Notes" prompt="One line per row: press Enter for the next line." errorStyle="stop"/>
    <dataValidation sqref="I25" showDropDown="0" showInputMessage="1" showErrorMessage="1" allowBlank="1" errorTitle="Spec. range, minimum %" error="Enter a percentage, e.g. 91.0." promptTitle="Spec. range, minimum %" prompt="Lowest relative density your contract allows. 2025 Standard Specifications, Type A HMA: 91.0 to 97.0." type="decimal" errorStyle="stop" operator="between">
      <formula1>50</formula1>
      <formula2>100</formula2>
    </dataValidation>
    <dataValidation sqref="J25" showDropDown="0" showInputMessage="1" showErrorMessage="1" allowBlank="1" errorTitle="Spec. range, maximum %" error="Enter a percentage, e.g. 97.0." promptTitle="Spec. range, maximum %" prompt="Highest relative density your contract allows (97.0 for Type A HMA). Delete it if there is no maximum." type="decimal" errorStyle="stop" operator="between">
      <formula1>50</formula1>
      <formula2>100</formula2>
    </dataValidation>
    <dataValidation sqref="I32:L32" showDropDown="0" showInputMessage="1" showErrorMessage="1" allowBlank="1" errorTitle="Block #" error="The block is a single digit, 0 to 9." promptTitle="Block #" prompt="The last digit of the Standard Count (A). To use a different block, type 0-9." type="whole" errorStyle="stop" operator="between">
      <formula1>0</formula1>
      <formula2>9</formula2>
    </dataValidation>
    <dataValidation sqref="C39:L40" showDropDown="0" showInputMessage="1" showErrorMessage="1" allowBlank="1" errorTitle="Density, g/cc" error="Enter a density in g/cc, e.g. 2.36. (pcf / 62.43 = g/cc)" promptTitle="Density, g/cc" prompt="In g/cc to 0.01. a = first reading; b = after turning the gauge 180 degrees." type="decimal" errorStyle="stop" operator="between">
      <formula1>1</formula1>
      <formula2>3.5</formula2>
    </dataValidation>
    <dataValidation sqref="D43:E43" showDropDown="0" showInputMessage="1" showErrorMessage="0" allowBlank="1" errorTitle="After Exclusions" error="Test strips only. Leave blank, or N/A, otherwise." promptTitle="After Exclusions" prompt="Test strips only. Leave blank, or N/A, otherwise." errorStyle="stop"/>
    <dataValidation sqref="D44:E44" showDropDown="0" showInputMessage="1" showErrorMessage="1" allowBlank="1" errorTitle="(N) Correlation Factor" error="Enter the correlation factor in g/cc, e.g. 0.021." promptTitle="(N) Correlation Factor" prompt="From the Core Correlation Worksheet above. Using a factor from an earlier day? Type it here." type="decimal" errorStyle="stop" operator="between">
      <formula1>-0.5</formula1>
      <formula2>0.5</formula2>
    </dataValidation>
  </dataValidations>
  <printOptions horizontalCentered="1"/>
  <pageMargins left="0.4" right="0.4" top="0.4" bottom="0.4" header="0.2" footer="0.2"/>
  <pageSetup orientation="portrait" paperSize="1" fitToHeight="1" fitToWidth="1"/>
  <ignoredErrors>
    <ignoredError sqref="A1:L80" unlockedFormula="1" formula="1" formulaRange="1" numberStoredAsText="1" emptyCellReference="1" evalError="1"/>
  </ignoredErrors>
</worksheet>
</file>

<file path=xl/worksheets/sheet3.xml><?xml version="1.0" encoding="utf-8"?>
<worksheet xmlns="http://schemas.openxmlformats.org/spreadsheetml/2006/main">
  <sheetPr>
    <tabColor rgb="009AA0A6"/>
    <outlinePr summaryBelow="1" summaryRight="1"/>
    <pageSetUpPr fitToPage="1"/>
  </sheetPr>
  <dimension ref="A1:L53"/>
  <sheetViews>
    <sheetView showGridLines="0" workbookViewId="0">
      <selection activeCell="A5" sqref="A5"/>
    </sheetView>
  </sheetViews>
  <sheetFormatPr baseColWidth="8" defaultRowHeight="15"/>
  <cols>
    <col width="27.5" customWidth="1" min="1" max="1"/>
    <col width="5.5"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s>
  <sheetData>
    <row r="1" ht="13" customHeight="1">
      <c r="A1" s="26" t="inlineStr">
        <is>
          <t>STATE OF CALIFORNIA • DEPARTMENT OF TRANSPORTATION</t>
        </is>
      </c>
      <c r="B1" s="3" t="n"/>
      <c r="C1" s="3" t="n"/>
      <c r="D1" s="3" t="n"/>
      <c r="E1" s="3" t="n"/>
      <c r="F1" s="3" t="n"/>
      <c r="G1" s="3" t="n"/>
      <c r="H1" s="4" t="n"/>
      <c r="I1" s="130" t="inlineStr">
        <is>
          <t>EXAMPLE</t>
        </is>
      </c>
      <c r="J1" s="3" t="n"/>
      <c r="K1" s="3" t="n"/>
      <c r="L1" s="4" t="n"/>
    </row>
    <row r="2" ht="20" customHeight="1">
      <c r="A2" s="27" t="inlineStr">
        <is>
          <t>DENSITY AND RELATIVE COMPACTION OF IN-SITU HOT MIX ASPHALT</t>
        </is>
      </c>
      <c r="B2" s="3" t="n"/>
      <c r="C2" s="3" t="n"/>
      <c r="D2" s="3" t="n"/>
      <c r="E2" s="3" t="n"/>
      <c r="F2" s="3" t="n"/>
      <c r="G2" s="3" t="n"/>
      <c r="H2" s="3" t="n"/>
      <c r="I2" s="3" t="n"/>
      <c r="J2" s="3" t="n"/>
      <c r="K2" s="3" t="n"/>
      <c r="L2" s="4" t="n"/>
    </row>
    <row r="3" ht="15" customHeight="1">
      <c r="A3" s="28" t="inlineStr">
        <is>
          <t>DOT TL-3112 (REV 08/2026)</t>
        </is>
      </c>
      <c r="B3" s="29" t="n"/>
      <c r="C3" s="29" t="n"/>
      <c r="D3" s="29" t="n"/>
      <c r="E3" s="29" t="n"/>
      <c r="F3" s="29" t="n"/>
      <c r="G3" s="29" t="n"/>
      <c r="H3" s="29" t="n"/>
      <c r="I3" s="29" t="n"/>
      <c r="J3" s="29" t="n"/>
      <c r="K3" s="29" t="n"/>
      <c r="L3" s="29" t="n"/>
    </row>
    <row r="4" ht="15" customHeight="1">
      <c r="A4" s="30" t="inlineStr">
        <is>
          <t>PROJECT</t>
        </is>
      </c>
      <c r="B4" s="31" t="n"/>
      <c r="C4" s="31" t="n"/>
      <c r="D4" s="31" t="n"/>
      <c r="E4" s="32" t="n"/>
      <c r="F4" s="33" t="inlineStr">
        <is>
          <t>Test By</t>
        </is>
      </c>
      <c r="G4" s="31" t="n"/>
      <c r="H4" s="34" t="n"/>
      <c r="I4" s="35" t="inlineStr">
        <is>
          <t>Lot Number</t>
        </is>
      </c>
      <c r="J4" s="34" t="n"/>
      <c r="K4" s="35" t="inlineStr">
        <is>
          <t>Date</t>
        </is>
      </c>
      <c r="L4" s="32" t="n"/>
    </row>
    <row r="5" ht="18" customHeight="1">
      <c r="A5" s="36" t="inlineStr">
        <is>
          <t>25-4567U8</t>
        </is>
      </c>
      <c r="B5" s="37" t="n"/>
      <c r="C5" s="37" t="n"/>
      <c r="D5" s="37" t="n"/>
      <c r="E5" s="38" t="n"/>
      <c r="F5" s="36" t="inlineStr">
        <is>
          <t>Harry Roberts</t>
        </is>
      </c>
      <c r="G5" s="37" t="n"/>
      <c r="H5" s="39" t="n"/>
      <c r="I5" s="40" t="inlineStr">
        <is>
          <t>1- Sublot 10</t>
        </is>
      </c>
      <c r="J5" s="39" t="n"/>
      <c r="K5" s="41" t="n">
        <v>46184</v>
      </c>
      <c r="L5" s="38" t="n"/>
    </row>
    <row r="6" ht="18" customHeight="1">
      <c r="A6" s="36" t="inlineStr">
        <is>
          <t>25-XYZ-555-61.7/87.3</t>
        </is>
      </c>
      <c r="B6" s="37" t="n"/>
      <c r="C6" s="37" t="n"/>
      <c r="D6" s="37" t="n"/>
      <c r="E6" s="38" t="n"/>
      <c r="F6" s="42" t="inlineStr">
        <is>
          <t>Aggregate Source</t>
        </is>
      </c>
      <c r="G6" s="43" t="n"/>
      <c r="H6" s="40" t="inlineStr">
        <is>
          <t>ACME Materials, Bristoville</t>
        </is>
      </c>
      <c r="I6" s="37" t="n"/>
      <c r="J6" s="37" t="n"/>
      <c r="K6" s="37" t="n"/>
      <c r="L6" s="38" t="n"/>
    </row>
    <row r="7" ht="18" customHeight="1">
      <c r="A7" s="36" t="inlineStr">
        <is>
          <t>Lyon County in Bristoville from Blue Streak</t>
        </is>
      </c>
      <c r="B7" s="37" t="n"/>
      <c r="C7" s="37" t="n"/>
      <c r="D7" s="37" t="n"/>
      <c r="E7" s="38" t="n"/>
      <c r="F7" s="42" t="inlineStr">
        <is>
          <t>HMA Mix Number</t>
        </is>
      </c>
      <c r="G7" s="43" t="n"/>
      <c r="H7" s="40" t="inlineStr">
        <is>
          <t>QC-123456-AB</t>
        </is>
      </c>
      <c r="I7" s="37" t="n"/>
      <c r="J7" s="37" t="n"/>
      <c r="K7" s="37" t="n"/>
      <c r="L7" s="38" t="n"/>
    </row>
    <row r="8" ht="18" customHeight="1">
      <c r="A8" s="36" t="inlineStr">
        <is>
          <t>Road to Glenn River</t>
        </is>
      </c>
      <c r="B8" s="37" t="n"/>
      <c r="C8" s="37" t="n"/>
      <c r="D8" s="37" t="n"/>
      <c r="E8" s="38" t="n"/>
      <c r="F8" s="42" t="inlineStr">
        <is>
          <t>Lane Number</t>
        </is>
      </c>
      <c r="G8" s="43" t="n"/>
      <c r="H8" s="40" t="inlineStr">
        <is>
          <t>2-A Line</t>
        </is>
      </c>
      <c r="I8" s="37" t="n"/>
      <c r="J8" s="37" t="n"/>
      <c r="K8" s="37" t="n"/>
      <c r="L8" s="38" t="n"/>
    </row>
    <row r="9" ht="18" customHeight="1">
      <c r="A9" s="36" t="n"/>
      <c r="B9" s="37" t="n"/>
      <c r="C9" s="37" t="n"/>
      <c r="D9" s="37" t="n"/>
      <c r="E9" s="38" t="n"/>
      <c r="F9" s="42" t="inlineStr">
        <is>
          <t>Lift Number</t>
        </is>
      </c>
      <c r="G9" s="43" t="n"/>
      <c r="H9" s="40" t="n">
        <v>3</v>
      </c>
      <c r="I9" s="37" t="n"/>
      <c r="J9" s="37" t="n"/>
      <c r="K9" s="37" t="n"/>
      <c r="L9" s="38" t="n"/>
    </row>
    <row r="10" ht="18" customHeight="1">
      <c r="A10" s="44" t="n"/>
      <c r="B10" s="45" t="n"/>
      <c r="C10" s="45" t="n"/>
      <c r="D10" s="45" t="n"/>
      <c r="E10" s="46" t="n"/>
      <c r="F10" s="47" t="inlineStr">
        <is>
          <t>Lift Thickness, ft</t>
        </is>
      </c>
      <c r="G10" s="48" t="n"/>
      <c r="H10" s="49" t="n">
        <v>0.18</v>
      </c>
      <c r="I10" s="45" t="n"/>
      <c r="J10" s="45" t="n"/>
      <c r="K10" s="45" t="n"/>
      <c r="L10" s="46" t="n"/>
    </row>
    <row r="11" ht="16" customHeight="1">
      <c r="A11" s="30" t="inlineStr">
        <is>
          <t>DENSITY GAGE</t>
        </is>
      </c>
      <c r="B11" s="31" t="n"/>
      <c r="C11" s="31" t="n"/>
      <c r="D11" s="31" t="n"/>
      <c r="E11" s="32" t="n"/>
      <c r="F11" s="30" t="inlineStr">
        <is>
          <t>TEST AREA LIMITS</t>
        </is>
      </c>
      <c r="G11" s="31" t="n"/>
      <c r="H11" s="31" t="n"/>
      <c r="I11" s="31" t="n"/>
      <c r="J11" s="31" t="n"/>
      <c r="K11" s="31" t="n"/>
      <c r="L11" s="32" t="n"/>
    </row>
    <row r="12" ht="18" customHeight="1">
      <c r="A12" s="50" t="inlineStr">
        <is>
          <t>Date of Last Calibration</t>
        </is>
      </c>
      <c r="B12" s="51" t="n">
        <v>45996</v>
      </c>
      <c r="C12" s="37" t="n"/>
      <c r="D12" s="39" t="n"/>
      <c r="E12" s="52" t="str">
        <f>IF(AND(ISNUMBER(B12),ISNUMBER(K5)),IF(K5&gt;EDATE(B12,12),"&gt; 12 MO",""),"")</f>
        <v/>
      </c>
      <c r="F12" s="42" t="inlineStr">
        <is>
          <t>(B) Start Station</t>
        </is>
      </c>
      <c r="G12" s="53" t="n"/>
      <c r="H12" s="43" t="n"/>
      <c r="I12" s="54" t="n">
        <v>69859</v>
      </c>
      <c r="J12" s="37" t="n"/>
      <c r="K12" s="37" t="n"/>
      <c r="L12" s="38" t="n"/>
    </row>
    <row r="13" ht="18" customHeight="1">
      <c r="A13" s="50" t="inlineStr">
        <is>
          <t>Model and ID</t>
        </is>
      </c>
      <c r="B13" s="40" t="inlineStr">
        <is>
          <t>Trox-3440-55555</t>
        </is>
      </c>
      <c r="C13" s="37" t="n"/>
      <c r="D13" s="37" t="n"/>
      <c r="E13" s="38" t="n"/>
      <c r="F13" s="42" t="inlineStr">
        <is>
          <t>(C) Finish Station</t>
        </is>
      </c>
      <c r="G13" s="53" t="n"/>
      <c r="H13" s="43" t="n"/>
      <c r="I13" s="54" t="n">
        <v>70877</v>
      </c>
      <c r="J13" s="37" t="n"/>
      <c r="K13" s="37" t="n"/>
      <c r="L13" s="38" t="n"/>
    </row>
    <row r="14" ht="18" customHeight="1">
      <c r="A14" s="50" t="inlineStr">
        <is>
          <t>(A) Standard Count</t>
        </is>
      </c>
      <c r="B14" s="55" t="n">
        <v>2662</v>
      </c>
      <c r="C14" s="37" t="n"/>
      <c r="D14" s="37" t="n"/>
      <c r="E14" s="38" t="n"/>
      <c r="F14" s="42" t="inlineStr">
        <is>
          <t>(D) Length (C - B), ft</t>
        </is>
      </c>
      <c r="G14" s="53" t="n"/>
      <c r="H14" s="43" t="n"/>
      <c r="I14" s="56">
        <f>IF(AND(ISNUMBER($C$49),ISNUMBER($D$49)),IF($D$49-$C$49&gt;0,$D$49-$C$49,"CHECK B &amp; C"),IF(AND(TRIM(I12)&lt;&gt;"",TRIM(I13)&lt;&gt;""),"CHECK B &amp; C",""))</f>
        <v>1018</v>
      </c>
      <c r="J14" s="53" t="n"/>
      <c r="K14" s="53" t="n"/>
      <c r="L14" s="57" t="n"/>
    </row>
    <row r="15" ht="18" customHeight="1">
      <c r="A15" s="50" t="inlineStr">
        <is>
          <t>Set/Entered Depth Used*</t>
        </is>
      </c>
      <c r="B15" s="40" t="inlineStr">
        <is>
          <t>BS</t>
        </is>
      </c>
      <c r="C15" s="37" t="n"/>
      <c r="D15" s="37" t="n"/>
      <c r="E15" s="38" t="n"/>
      <c r="F15" s="42" t="inlineStr">
        <is>
          <t>(E) Lane Width, ft</t>
        </is>
      </c>
      <c r="G15" s="53" t="n"/>
      <c r="H15" s="43" t="n"/>
      <c r="I15" s="58" t="n">
        <v>12</v>
      </c>
      <c r="J15" s="37" t="n"/>
      <c r="K15" s="37" t="n"/>
      <c r="L15" s="38" t="n"/>
    </row>
    <row r="16" ht="18" customHeight="1">
      <c r="A16" s="59" t="inlineStr">
        <is>
          <t>* Must match value used during correlation</t>
        </is>
      </c>
      <c r="B16" s="60" t="n"/>
      <c r="C16" s="60" t="n"/>
      <c r="D16" s="60" t="n"/>
      <c r="E16" s="61" t="n"/>
      <c r="F16" s="47" t="inlineStr">
        <is>
          <t>(F) Maximum Theoretical Specific Gravity (Gmm)</t>
        </is>
      </c>
      <c r="G16" s="60" t="n"/>
      <c r="H16" s="60" t="n"/>
      <c r="I16" s="60" t="n"/>
      <c r="J16" s="48" t="n"/>
      <c r="K16" s="62" t="n">
        <v>2.512</v>
      </c>
      <c r="L16" s="46" t="n"/>
    </row>
    <row r="17" ht="16" customHeight="1">
      <c r="A17" s="30" t="inlineStr">
        <is>
          <t>CORE CORRELATION WORKSHEET</t>
        </is>
      </c>
      <c r="B17" s="31" t="n"/>
      <c r="C17" s="31" t="n"/>
      <c r="D17" s="31" t="n"/>
      <c r="E17" s="31" t="n"/>
      <c r="F17" s="31" t="n"/>
      <c r="G17" s="31" t="n"/>
      <c r="H17" s="31" t="n"/>
      <c r="I17" s="31" t="n"/>
      <c r="J17" s="31" t="n"/>
      <c r="K17" s="31" t="n"/>
      <c r="L17" s="32" t="n"/>
    </row>
    <row r="18" ht="16" customHeight="1">
      <c r="A18" s="63" t="inlineStr">
        <is>
          <t>Location</t>
        </is>
      </c>
      <c r="B18" s="43" t="n"/>
      <c r="C18" s="64" t="inlineStr">
        <is>
          <t>1</t>
        </is>
      </c>
      <c r="D18" s="43" t="n"/>
      <c r="E18" s="64" t="inlineStr">
        <is>
          <t>2</t>
        </is>
      </c>
      <c r="F18" s="43" t="n"/>
      <c r="G18" s="64" t="inlineStr">
        <is>
          <t>3</t>
        </is>
      </c>
      <c r="H18" s="43" t="n"/>
      <c r="I18" s="64" t="inlineStr">
        <is>
          <t>4</t>
        </is>
      </c>
      <c r="J18" s="43" t="n"/>
      <c r="K18" s="64" t="inlineStr">
        <is>
          <t>5</t>
        </is>
      </c>
      <c r="L18" s="57" t="n"/>
    </row>
    <row r="19" ht="18" customHeight="1">
      <c r="A19" s="65" t="inlineStr">
        <is>
          <t>Core Density</t>
        </is>
      </c>
      <c r="B19" s="43" t="n"/>
      <c r="C19" s="66" t="n">
        <v>2.385</v>
      </c>
      <c r="D19" s="39" t="n"/>
      <c r="E19" s="66" t="n">
        <v>2.371</v>
      </c>
      <c r="F19" s="39" t="n"/>
      <c r="G19" s="66" t="n">
        <v>2.389</v>
      </c>
      <c r="H19" s="39" t="n"/>
      <c r="I19" s="66" t="n">
        <v>2.402</v>
      </c>
      <c r="J19" s="39" t="n"/>
      <c r="K19" s="66" t="n">
        <v>2.388</v>
      </c>
      <c r="L19" s="38" t="n"/>
    </row>
    <row r="20" ht="18" customHeight="1">
      <c r="A20" s="65" t="inlineStr">
        <is>
          <t>Gauge Density</t>
        </is>
      </c>
      <c r="B20" s="43" t="n"/>
      <c r="C20" s="66" t="n">
        <v>2.36</v>
      </c>
      <c r="D20" s="39" t="n"/>
      <c r="E20" s="66" t="n">
        <v>2.35</v>
      </c>
      <c r="F20" s="39" t="n"/>
      <c r="G20" s="66" t="n">
        <v>2.37</v>
      </c>
      <c r="H20" s="39" t="n"/>
      <c r="I20" s="66" t="n">
        <v>2.38</v>
      </c>
      <c r="J20" s="39" t="n"/>
      <c r="K20" s="66" t="n">
        <v>2.37</v>
      </c>
      <c r="L20" s="38" t="n"/>
    </row>
    <row r="21" ht="27" customHeight="1">
      <c r="A21" s="67" t="inlineStr">
        <is>
          <t>Difference (Core Density
- Gauge Density)</t>
        </is>
      </c>
      <c r="B21" s="43" t="n"/>
      <c r="C21" s="68">
        <f>IF(AND(ISNUMBER(C19),ISNUMBER(C20)),ROUND(C19-C20,3),"")</f>
        <v>0.025</v>
      </c>
      <c r="D21" s="43" t="n"/>
      <c r="E21" s="68">
        <f>IF(AND(ISNUMBER(E19),ISNUMBER(E20)),ROUND(E19-E20,3),"")</f>
        <v>0.021</v>
      </c>
      <c r="F21" s="43" t="n"/>
      <c r="G21" s="68">
        <f>IF(AND(ISNUMBER(G19),ISNUMBER(G20)),ROUND(G19-G20,3),"")</f>
        <v>0.019</v>
      </c>
      <c r="H21" s="43" t="n"/>
      <c r="I21" s="68">
        <f>IF(AND(ISNUMBER(I19),ISNUMBER(I20)),ROUND(I19-I20,3),"")</f>
        <v>0.022</v>
      </c>
      <c r="J21" s="43" t="n"/>
      <c r="K21" s="68">
        <f>IF(AND(ISNUMBER(K19),ISNUMBER(K20)),ROUND(K19-K20,3),"")</f>
        <v>0.018</v>
      </c>
      <c r="L21" s="57" t="n"/>
    </row>
    <row r="22" ht="18" customHeight="1">
      <c r="A22" s="65" t="inlineStr">
        <is>
          <t>Total Difference (Sum of Difference)</t>
        </is>
      </c>
      <c r="B22" s="53" t="n"/>
      <c r="C22" s="53" t="n"/>
      <c r="D22" s="53" t="n"/>
      <c r="E22" s="53" t="n"/>
      <c r="F22" s="53" t="n"/>
      <c r="G22" s="53" t="n"/>
      <c r="H22" s="53" t="n"/>
      <c r="I22" s="53" t="n"/>
      <c r="J22" s="43" t="n"/>
      <c r="K22" s="68">
        <f>IF(COUNT($C$21:$L$21)=0,"",ROUND(SUM($C$21:$L$21),3))</f>
        <v>0.105</v>
      </c>
      <c r="L22" s="57" t="n"/>
    </row>
    <row r="23" ht="18" customHeight="1">
      <c r="A23" s="69" t="inlineStr">
        <is>
          <t>Average Difference (Correlation Factor or Offset) (N)</t>
        </is>
      </c>
      <c r="B23" s="60" t="n"/>
      <c r="C23" s="60" t="n"/>
      <c r="D23" s="60" t="n"/>
      <c r="E23" s="60" t="n"/>
      <c r="F23" s="60" t="n"/>
      <c r="G23" s="60" t="n"/>
      <c r="H23" s="60" t="n"/>
      <c r="I23" s="60" t="n"/>
      <c r="J23" s="48" t="n"/>
      <c r="K23" s="70">
        <f>IF(COUNT($C$21:$L$21)=0,"",ROUND(AVERAGE($C$21:$L$21),3))</f>
        <v>0.021</v>
      </c>
      <c r="L23" s="61" t="n"/>
    </row>
    <row r="24" ht="27" customHeight="1">
      <c r="A24" s="71" t="inlineStr">
        <is>
          <t>FIELD NOTES AND CALCULATIONS
(Use back if more room is needed)</t>
        </is>
      </c>
      <c r="B24" s="72" t="n"/>
      <c r="C24" s="72" t="n"/>
      <c r="D24" s="72" t="n"/>
      <c r="E24" s="72" t="n"/>
      <c r="F24" s="72" t="n"/>
      <c r="G24" s="72" t="n"/>
      <c r="H24" s="72" t="n"/>
      <c r="I24" s="72" t="n"/>
      <c r="J24" s="72" t="n"/>
      <c r="K24" s="72" t="n"/>
      <c r="L24" s="73" t="n"/>
    </row>
    <row r="25" ht="19" customHeight="1">
      <c r="A25" s="74" t="inlineStr">
        <is>
          <t>HMA in test area, tons</t>
        </is>
      </c>
      <c r="B25" s="75" t="n">
        <v>470</v>
      </c>
      <c r="C25" s="76" t="n"/>
      <c r="D25" s="77" t="inlineStr">
        <is>
          <t>Test sites</t>
        </is>
      </c>
      <c r="E25" s="48" t="n"/>
      <c r="F25" s="78">
        <f>IF(NOT(ISNUMBER(B25)),"",IF(B25&gt;500,"500 T MAX",MAX(5,ROUNDUP(B25/50,0))))</f>
        <v>10</v>
      </c>
      <c r="G25" s="77" t="inlineStr">
        <is>
          <t>Spec. range, %</t>
        </is>
      </c>
      <c r="H25" s="48" t="n"/>
      <c r="I25" s="79" t="n">
        <v>91</v>
      </c>
      <c r="J25" s="80" t="n">
        <v>97</v>
      </c>
      <c r="K25" s="81" t="inlineStr">
        <is>
          <t>Result</t>
        </is>
      </c>
      <c r="L25" s="82" t="str">
        <f>IF(NOT(ISNUMBER(K45)),"",IF(AND(ISNUMBER(I25),K45&lt;I25),"LOW",IF(AND(ISNUMBER(J25),K45&gt;J25),"HIGH","PASS")))</f>
        <v>PASS</v>
      </c>
    </row>
    <row r="26" ht="17" customHeight="1">
      <c r="A26" s="83" t="inlineStr">
        <is>
          <t>Worked example: site layout and gauge readings from the CT 375 (Feb 2012) example; core densities and Gmm are illustrative.</t>
        </is>
      </c>
      <c r="B26" s="84" t="n"/>
      <c r="C26" s="84" t="n"/>
      <c r="D26" s="84" t="n"/>
      <c r="E26" s="84" t="n"/>
      <c r="F26" s="84" t="n"/>
      <c r="G26" s="84" t="n"/>
      <c r="H26" s="84" t="n"/>
      <c r="I26" s="84" t="n"/>
      <c r="J26" s="84" t="n"/>
      <c r="K26" s="84" t="n"/>
      <c r="L26" s="85" t="n"/>
    </row>
    <row r="27" ht="17" customHeight="1">
      <c r="A27" s="86" t="inlineStr">
        <is>
          <t>Multiple layers of similar materials. 1st lift 0.20 ft (conventional), 2nd lift 0.20 ft (conventional), 3rd lift 0.18 ft</t>
        </is>
      </c>
      <c r="B27" s="87" t="n"/>
      <c r="C27" s="87" t="n"/>
      <c r="D27" s="87" t="n"/>
      <c r="E27" s="87" t="n"/>
      <c r="F27" s="87" t="n"/>
      <c r="G27" s="87" t="n"/>
      <c r="H27" s="87" t="n"/>
      <c r="I27" s="87" t="n"/>
      <c r="J27" s="87" t="n"/>
      <c r="K27" s="87" t="n"/>
      <c r="L27" s="88" t="n"/>
    </row>
    <row r="28" ht="17" customHeight="1">
      <c r="A28" s="86" t="inlineStr">
        <is>
          <t>(similar material, combined thickness at least 0.20 ft). Troxler 3440 used for all three lifts.</t>
        </is>
      </c>
      <c r="B28" s="87" t="n"/>
      <c r="C28" s="87" t="n"/>
      <c r="D28" s="87" t="n"/>
      <c r="E28" s="87" t="n"/>
      <c r="F28" s="87" t="n"/>
      <c r="G28" s="87" t="n"/>
      <c r="H28" s="87" t="n"/>
      <c r="I28" s="87" t="n"/>
      <c r="J28" s="87" t="n"/>
      <c r="K28" s="87" t="n"/>
      <c r="L28" s="88" t="n"/>
    </row>
    <row r="29" ht="17" customHeight="1">
      <c r="A29" s="86" t="inlineStr">
        <is>
          <t>At station 699+42, the transverse distance was moved from 12 to 11 (site is now 1 ft from edge).</t>
        </is>
      </c>
      <c r="B29" s="87" t="n"/>
      <c r="C29" s="87" t="n"/>
      <c r="D29" s="87" t="n"/>
      <c r="E29" s="87" t="n"/>
      <c r="F29" s="87" t="n"/>
      <c r="G29" s="87" t="n"/>
      <c r="H29" s="87" t="n"/>
      <c r="I29" s="87" t="n"/>
      <c r="J29" s="87" t="n"/>
      <c r="K29" s="87" t="n"/>
      <c r="L29" s="88" t="n"/>
    </row>
    <row r="30" ht="17" customHeight="1">
      <c r="A30" s="86" t="n"/>
      <c r="B30" s="87" t="n"/>
      <c r="C30" s="87" t="n"/>
      <c r="D30" s="87" t="n"/>
      <c r="E30" s="87" t="n"/>
      <c r="F30" s="87" t="n"/>
      <c r="G30" s="87" t="n"/>
      <c r="H30" s="87" t="n"/>
      <c r="I30" s="87" t="n"/>
      <c r="J30" s="87" t="n"/>
      <c r="K30" s="87" t="n"/>
      <c r="L30" s="88" t="n"/>
    </row>
    <row r="31" ht="17" customHeight="1">
      <c r="A31" s="89" t="n"/>
      <c r="B31" s="90" t="n"/>
      <c r="C31" s="90" t="n"/>
      <c r="D31" s="90" t="n"/>
      <c r="E31" s="90" t="n"/>
      <c r="F31" s="90" t="n"/>
      <c r="G31" s="90" t="n"/>
      <c r="H31" s="90" t="n"/>
      <c r="I31" s="90" t="n"/>
      <c r="J31" s="90" t="n"/>
      <c r="K31" s="90" t="n"/>
      <c r="L31" s="91" t="n"/>
    </row>
    <row r="32" ht="18" customHeight="1">
      <c r="A32" s="92" t="inlineStr">
        <is>
          <t>COLUMN</t>
        </is>
      </c>
      <c r="B32" s="34" t="n"/>
      <c r="C32" s="93" t="inlineStr">
        <is>
          <t>RANDOM NUMBER</t>
        </is>
      </c>
      <c r="D32" s="31" t="n"/>
      <c r="E32" s="34" t="n"/>
      <c r="F32" s="94" t="inlineStr">
        <is>
          <t>Table #</t>
        </is>
      </c>
      <c r="G32" s="95">
        <f>IF($C$48=10,1,2)</f>
        <v>1</v>
      </c>
      <c r="H32" s="94" t="inlineStr">
        <is>
          <t>Block #</t>
        </is>
      </c>
      <c r="I32" s="96" t="n">
        <v>0</v>
      </c>
      <c r="J32" s="97" t="n"/>
      <c r="K32" s="97" t="n"/>
      <c r="L32" s="98" t="n"/>
    </row>
    <row r="33" ht="18" customHeight="1">
      <c r="A33" s="42" t="inlineStr">
        <is>
          <t>(G) Left (Longitudinal Location)</t>
        </is>
      </c>
      <c r="B33" s="43" t="n"/>
      <c r="C33" s="99">
        <f>IF(C53="","",INDEX($C$50:$L$50,MATCH(C53,$C$52:$L$52,0)))</f>
        <v>0.053</v>
      </c>
      <c r="D33" s="99">
        <f>IF(D53="","",INDEX($C$50:$L$50,MATCH(D53,$C$52:$L$52,0)))</f>
        <v>0.081</v>
      </c>
      <c r="E33" s="99">
        <f>IF(E53="","",INDEX($C$50:$L$50,MATCH(E53,$C$52:$L$52,0)))</f>
        <v>0.095</v>
      </c>
      <c r="F33" s="99">
        <f>IF(F53="","",INDEX($C$50:$L$50,MATCH(F53,$C$52:$L$52,0)))</f>
        <v>0.576</v>
      </c>
      <c r="G33" s="99">
        <f>IF(G53="","",INDEX($C$50:$L$50,MATCH(G53,$C$52:$L$52,0)))</f>
        <v>0.609</v>
      </c>
      <c r="H33" s="99">
        <f>IF(H53="","",INDEX($C$50:$L$50,MATCH(H53,$C$52:$L$52,0)))</f>
        <v>0.669</v>
      </c>
      <c r="I33" s="99">
        <f>IF(I53="","",INDEX($C$50:$L$50,MATCH(I53,$C$52:$L$52,0)))</f>
        <v>0.81</v>
      </c>
      <c r="J33" s="99">
        <f>IF(J53="","",INDEX($C$50:$L$50,MATCH(J53,$C$52:$L$52,0)))</f>
        <v>0.892</v>
      </c>
      <c r="K33" s="99">
        <f>IF(K53="","",INDEX($C$50:$L$50,MATCH(K53,$C$52:$L$52,0)))</f>
        <v>0.971</v>
      </c>
      <c r="L33" s="100">
        <f>IF(L53="","",INDEX($C$50:$L$50,MATCH(L53,$C$52:$L$52,0)))</f>
        <v>0.982</v>
      </c>
    </row>
    <row r="34" ht="18" customHeight="1">
      <c r="A34" s="47" t="inlineStr">
        <is>
          <t>(H) Right (Transverse Location)</t>
        </is>
      </c>
      <c r="B34" s="48" t="n"/>
      <c r="C34" s="101">
        <f>IF(C53="","",INDEX($C$51:$L$51,MATCH(C53,$C$52:$L$52,0)))</f>
        <v>0.73</v>
      </c>
      <c r="D34" s="101">
        <f>IF(D53="","",INDEX($C$51:$L$51,MATCH(D53,$C$52:$L$52,0)))</f>
        <v>0.948</v>
      </c>
      <c r="E34" s="101">
        <f>IF(E53="","",INDEX($C$51:$L$51,MATCH(E53,$C$52:$L$52,0)))</f>
        <v>0.726</v>
      </c>
      <c r="F34" s="101">
        <f>IF(F53="","",INDEX($C$51:$L$51,MATCH(F53,$C$52:$L$52,0)))</f>
        <v>0.482</v>
      </c>
      <c r="G34" s="101">
        <f>IF(G53="","",INDEX($C$51:$L$51,MATCH(G53,$C$52:$L$52,0)))</f>
        <v>0.824</v>
      </c>
      <c r="H34" s="101">
        <f>IF(H53="","",INDEX($C$51:$L$51,MATCH(H53,$C$52:$L$52,0)))</f>
        <v>0.899</v>
      </c>
      <c r="I34" s="101">
        <f>IF(I53="","",INDEX($C$51:$L$51,MATCH(I53,$C$52:$L$52,0)))</f>
        <v>0.159</v>
      </c>
      <c r="J34" s="101">
        <f>IF(J53="","",INDEX($C$51:$L$51,MATCH(J53,$C$52:$L$52,0)))</f>
        <v>0.277</v>
      </c>
      <c r="K34" s="101">
        <f>IF(K53="","",INDEX($C$51:$L$51,MATCH(K53,$C$52:$L$52,0)))</f>
        <v>0.468</v>
      </c>
      <c r="L34" s="102">
        <f>IF(L53="","",INDEX($C$51:$L$51,MATCH(L53,$C$52:$L$52,0)))</f>
        <v>0.801</v>
      </c>
    </row>
    <row r="35" ht="18" customHeight="1">
      <c r="A35" s="92" t="inlineStr">
        <is>
          <t>TEST SITE LOCATIONS</t>
        </is>
      </c>
      <c r="B35" s="32" t="n"/>
      <c r="C35" s="103">
        <f>IF((COLUMN()-2)&gt;$C$48,"",(COLUMN()-2))</f>
        <v>1</v>
      </c>
      <c r="D35" s="103">
        <f>IF((COLUMN()-2)&gt;$C$48,"",(COLUMN()-2))</f>
        <v>2</v>
      </c>
      <c r="E35" s="103">
        <f>IF((COLUMN()-2)&gt;$C$48,"",(COLUMN()-2))</f>
        <v>3</v>
      </c>
      <c r="F35" s="103">
        <f>IF((COLUMN()-2)&gt;$C$48,"",(COLUMN()-2))</f>
        <v>4</v>
      </c>
      <c r="G35" s="103">
        <f>IF((COLUMN()-2)&gt;$C$48,"",(COLUMN()-2))</f>
        <v>5</v>
      </c>
      <c r="H35" s="103">
        <f>IF((COLUMN()-2)&gt;$C$48,"",(COLUMN()-2))</f>
        <v>6</v>
      </c>
      <c r="I35" s="103">
        <f>IF((COLUMN()-2)&gt;$C$48,"",(COLUMN()-2))</f>
        <v>7</v>
      </c>
      <c r="J35" s="103">
        <f>IF((COLUMN()-2)&gt;$C$48,"",(COLUMN()-2))</f>
        <v>8</v>
      </c>
      <c r="K35" s="103">
        <f>IF((COLUMN()-2)&gt;$C$48,"",(COLUMN()-2))</f>
        <v>9</v>
      </c>
      <c r="L35" s="104">
        <f>IF((COLUMN()-2)&gt;$C$48,"",(COLUMN()-2))</f>
        <v>10</v>
      </c>
    </row>
    <row r="36" ht="31" customHeight="1">
      <c r="A36" s="105" t="inlineStr">
        <is>
          <t>(I) Longitudinal Distance from Start
      D x G (Round up to Whole Number)</t>
        </is>
      </c>
      <c r="B36" s="57" t="n"/>
      <c r="C36" s="106">
        <f>IF(OR(C33="",NOT(ISNUMBER($I$14))),"",IF($I$14&lt;=0,"",ROUNDUP($I$14*C33,0)))</f>
        <v>54</v>
      </c>
      <c r="D36" s="106">
        <f>IF(OR(D33="",NOT(ISNUMBER($I$14))),"",IF($I$14&lt;=0,"",ROUNDUP($I$14*D33,0)))</f>
        <v>83</v>
      </c>
      <c r="E36" s="106">
        <f>IF(OR(E33="",NOT(ISNUMBER($I$14))),"",IF($I$14&lt;=0,"",ROUNDUP($I$14*E33,0)))</f>
        <v>97</v>
      </c>
      <c r="F36" s="106">
        <f>IF(OR(F33="",NOT(ISNUMBER($I$14))),"",IF($I$14&lt;=0,"",ROUNDUP($I$14*F33,0)))</f>
        <v>587</v>
      </c>
      <c r="G36" s="106">
        <f>IF(OR(G33="",NOT(ISNUMBER($I$14))),"",IF($I$14&lt;=0,"",ROUNDUP($I$14*G33,0)))</f>
        <v>620</v>
      </c>
      <c r="H36" s="106">
        <f>IF(OR(H33="",NOT(ISNUMBER($I$14))),"",IF($I$14&lt;=0,"",ROUNDUP($I$14*H33,0)))</f>
        <v>682</v>
      </c>
      <c r="I36" s="106">
        <f>IF(OR(I33="",NOT(ISNUMBER($I$14))),"",IF($I$14&lt;=0,"",ROUNDUP($I$14*I33,0)))</f>
        <v>825</v>
      </c>
      <c r="J36" s="106">
        <f>IF(OR(J33="",NOT(ISNUMBER($I$14))),"",IF($I$14&lt;=0,"",ROUNDUP($I$14*J33,0)))</f>
        <v>909</v>
      </c>
      <c r="K36" s="106">
        <f>IF(OR(K33="",NOT(ISNUMBER($I$14))),"",IF($I$14&lt;=0,"",ROUNDUP($I$14*K33,0)))</f>
        <v>989</v>
      </c>
      <c r="L36" s="107">
        <f>IF(OR(L33="",NOT(ISNUMBER($I$14))),"",IF($I$14&lt;=0,"",ROUNDUP($I$14*L33,0)))</f>
        <v>1000</v>
      </c>
    </row>
    <row r="37" ht="18" customHeight="1">
      <c r="A37" s="42" t="inlineStr">
        <is>
          <t>(J) Station I + B</t>
        </is>
      </c>
      <c r="B37" s="57" t="n"/>
      <c r="C37" s="108">
        <f>IF(OR(C36="",NOT(ISNUMBER($C$49))),"",$C$49+C36)</f>
        <v>69913</v>
      </c>
      <c r="D37" s="108">
        <f>IF(OR(D36="",NOT(ISNUMBER($C$49))),"",$C$49+D36)</f>
        <v>69942</v>
      </c>
      <c r="E37" s="108">
        <f>IF(OR(E36="",NOT(ISNUMBER($C$49))),"",$C$49+E36)</f>
        <v>69956</v>
      </c>
      <c r="F37" s="108">
        <f>IF(OR(F36="",NOT(ISNUMBER($C$49))),"",$C$49+F36)</f>
        <v>70446</v>
      </c>
      <c r="G37" s="108">
        <f>IF(OR(G36="",NOT(ISNUMBER($C$49))),"",$C$49+G36)</f>
        <v>70479</v>
      </c>
      <c r="H37" s="108">
        <f>IF(OR(H36="",NOT(ISNUMBER($C$49))),"",$C$49+H36)</f>
        <v>70541</v>
      </c>
      <c r="I37" s="108">
        <f>IF(OR(I36="",NOT(ISNUMBER($C$49))),"",$C$49+I36)</f>
        <v>70684</v>
      </c>
      <c r="J37" s="108">
        <f>IF(OR(J36="",NOT(ISNUMBER($C$49))),"",$C$49+J36)</f>
        <v>70768</v>
      </c>
      <c r="K37" s="108">
        <f>IF(OR(K36="",NOT(ISNUMBER($C$49))),"",$C$49+K36)</f>
        <v>70848</v>
      </c>
      <c r="L37" s="109">
        <f>IF(OR(L36="",NOT(ISNUMBER($C$49))),"",$C$49+L36)</f>
        <v>70859</v>
      </c>
    </row>
    <row r="38" ht="31" customHeight="1">
      <c r="A38" s="105" t="inlineStr">
        <is>
          <t>(K) Transverse Distance from Edge
      E x H (Round up to Whole Number)</t>
        </is>
      </c>
      <c r="B38" s="57" t="n"/>
      <c r="C38" s="106">
        <f>IF(OR(C34="",NOT(ISNUMBER($I$15))),"",IF($I$15&lt;2,"",MIN(MAX(ROUNDUP($I$15*C34,0),1),$I$15-1)))</f>
        <v>9</v>
      </c>
      <c r="D38" s="106">
        <f>IF(OR(D34="",NOT(ISNUMBER($I$15))),"",IF($I$15&lt;2,"",MIN(MAX(ROUNDUP($I$15*D34,0),1),$I$15-1)))</f>
        <v>11</v>
      </c>
      <c r="E38" s="106">
        <f>IF(OR(E34="",NOT(ISNUMBER($I$15))),"",IF($I$15&lt;2,"",MIN(MAX(ROUNDUP($I$15*E34,0),1),$I$15-1)))</f>
        <v>9</v>
      </c>
      <c r="F38" s="106">
        <f>IF(OR(F34="",NOT(ISNUMBER($I$15))),"",IF($I$15&lt;2,"",MIN(MAX(ROUNDUP($I$15*F34,0),1),$I$15-1)))</f>
        <v>6</v>
      </c>
      <c r="G38" s="106">
        <f>IF(OR(G34="",NOT(ISNUMBER($I$15))),"",IF($I$15&lt;2,"",MIN(MAX(ROUNDUP($I$15*G34,0),1),$I$15-1)))</f>
        <v>10</v>
      </c>
      <c r="H38" s="106">
        <f>IF(OR(H34="",NOT(ISNUMBER($I$15))),"",IF($I$15&lt;2,"",MIN(MAX(ROUNDUP($I$15*H34,0),1),$I$15-1)))</f>
        <v>11</v>
      </c>
      <c r="I38" s="106">
        <f>IF(OR(I34="",NOT(ISNUMBER($I$15))),"",IF($I$15&lt;2,"",MIN(MAX(ROUNDUP($I$15*I34,0),1),$I$15-1)))</f>
        <v>2</v>
      </c>
      <c r="J38" s="106">
        <f>IF(OR(J34="",NOT(ISNUMBER($I$15))),"",IF($I$15&lt;2,"",MIN(MAX(ROUNDUP($I$15*J34,0),1),$I$15-1)))</f>
        <v>4</v>
      </c>
      <c r="K38" s="106">
        <f>IF(OR(K34="",NOT(ISNUMBER($I$15))),"",IF($I$15&lt;2,"",MIN(MAX(ROUNDUP($I$15*K34,0),1),$I$15-1)))</f>
        <v>6</v>
      </c>
      <c r="L38" s="107">
        <f>IF(OR(L34="",NOT(ISNUMBER($I$15))),"",IF($I$15&lt;2,"",MIN(MAX(ROUNDUP($I$15*L34,0),1),$I$15-1)))</f>
        <v>10</v>
      </c>
    </row>
    <row r="39" ht="18" customHeight="1">
      <c r="A39" s="110" t="inlineStr">
        <is>
          <t>(L) Gauge Density</t>
        </is>
      </c>
      <c r="B39" s="111" t="inlineStr">
        <is>
          <t>a</t>
        </is>
      </c>
      <c r="C39" s="112" t="n">
        <v>2.36</v>
      </c>
      <c r="D39" s="112" t="n">
        <v>2.35</v>
      </c>
      <c r="E39" s="112" t="n">
        <v>2.37</v>
      </c>
      <c r="F39" s="112" t="n">
        <v>2.38</v>
      </c>
      <c r="G39" s="112" t="n">
        <v>2.37</v>
      </c>
      <c r="H39" s="112" t="n">
        <v>2.37</v>
      </c>
      <c r="I39" s="112" t="n">
        <v>2.38</v>
      </c>
      <c r="J39" s="112" t="n">
        <v>2.36</v>
      </c>
      <c r="K39" s="112" t="n">
        <v>2.37</v>
      </c>
      <c r="L39" s="113" t="n">
        <v>2.35</v>
      </c>
    </row>
    <row r="40" ht="18" customHeight="1">
      <c r="A40" s="114" t="n"/>
      <c r="B40" s="111" t="inlineStr">
        <is>
          <t>b</t>
        </is>
      </c>
      <c r="C40" s="112" t="n">
        <v>2.35</v>
      </c>
      <c r="D40" s="112" t="n">
        <v>2.37</v>
      </c>
      <c r="E40" s="112" t="n">
        <v>2.36</v>
      </c>
      <c r="F40" s="112" t="n">
        <v>2.37</v>
      </c>
      <c r="G40" s="112" t="n">
        <v>2.39</v>
      </c>
      <c r="H40" s="112" t="n">
        <v>2.36</v>
      </c>
      <c r="I40" s="112" t="n">
        <v>2.37</v>
      </c>
      <c r="J40" s="112" t="n">
        <v>2.38</v>
      </c>
      <c r="K40" s="112" t="n">
        <v>2.36</v>
      </c>
      <c r="L40" s="113" t="n">
        <v>2.37</v>
      </c>
    </row>
    <row r="41" ht="18" customHeight="1">
      <c r="A41" s="115" t="n"/>
      <c r="B41" s="116" t="inlineStr">
        <is>
          <t>Avg.</t>
        </is>
      </c>
      <c r="C41" s="117">
        <f>IF(C$35="","",IF(COUNT(C39:C40)&lt;2,"",IF(ROUND(ABS(C39-C40),2)&gt;0.05,"RETEST",ROUND(AVERAGE(C39:C40),2))))</f>
        <v>2.36</v>
      </c>
      <c r="D41" s="117">
        <f>IF(D$35="","",IF(COUNT(D39:D40)&lt;2,"",IF(ROUND(ABS(D39-D40),2)&gt;0.05,"RETEST",ROUND(AVERAGE(D39:D40),2))))</f>
        <v>2.36</v>
      </c>
      <c r="E41" s="117">
        <f>IF(E$35="","",IF(COUNT(E39:E40)&lt;2,"",IF(ROUND(ABS(E39-E40),2)&gt;0.05,"RETEST",ROUND(AVERAGE(E39:E40),2))))</f>
        <v>2.37</v>
      </c>
      <c r="F41" s="117">
        <f>IF(F$35="","",IF(COUNT(F39:F40)&lt;2,"",IF(ROUND(ABS(F39-F40),2)&gt;0.05,"RETEST",ROUND(AVERAGE(F39:F40),2))))</f>
        <v>2.38</v>
      </c>
      <c r="G41" s="117">
        <f>IF(G$35="","",IF(COUNT(G39:G40)&lt;2,"",IF(ROUND(ABS(G39-G40),2)&gt;0.05,"RETEST",ROUND(AVERAGE(G39:G40),2))))</f>
        <v>2.38</v>
      </c>
      <c r="H41" s="117">
        <f>IF(H$35="","",IF(COUNT(H39:H40)&lt;2,"",IF(ROUND(ABS(H39-H40),2)&gt;0.05,"RETEST",ROUND(AVERAGE(H39:H40),2))))</f>
        <v>2.37</v>
      </c>
      <c r="I41" s="117">
        <f>IF(I$35="","",IF(COUNT(I39:I40)&lt;2,"",IF(ROUND(ABS(I39-I40),2)&gt;0.05,"RETEST",ROUND(AVERAGE(I39:I40),2))))</f>
        <v>2.38</v>
      </c>
      <c r="J41" s="117">
        <f>IF(J$35="","",IF(COUNT(J39:J40)&lt;2,"",IF(ROUND(ABS(J39-J40),2)&gt;0.05,"RETEST",ROUND(AVERAGE(J39:J40),2))))</f>
        <v>2.37</v>
      </c>
      <c r="K41" s="117">
        <f>IF(K$35="","",IF(COUNT(K39:K40)&lt;2,"",IF(ROUND(ABS(K39-K40),2)&gt;0.05,"RETEST",ROUND(AVERAGE(K39:K40),2))))</f>
        <v>2.37</v>
      </c>
      <c r="L41" s="118">
        <f>IF(L$35="","",IF(COUNT(L39:L40)&lt;2,"",IF(ROUND(ABS(L39-L40),2)&gt;0.05,"RETEST",ROUND(AVERAGE(L39:L40),2))))</f>
        <v>2.36</v>
      </c>
    </row>
    <row r="42" ht="18" customHeight="1">
      <c r="A42" s="119" t="inlineStr">
        <is>
          <t>(M) Average In-Place Density (All Sites)</t>
        </is>
      </c>
      <c r="B42" s="31" t="n"/>
      <c r="C42" s="34" t="n"/>
      <c r="D42" s="120">
        <f>IF(COUNT($C$41:$L$41)=0,"",IF(COUNT($C$41:$L$41)&lt;$C$48,COUNT($C$41:$L$41)&amp;" of "&amp;$C$48&amp;" sites",ROUND(AVERAGE($C$41:$L$41),2)))</f>
        <v>2.37</v>
      </c>
      <c r="E42" s="32" t="n"/>
      <c r="F42" s="119" t="inlineStr">
        <is>
          <t>(P) Not Used</t>
        </is>
      </c>
      <c r="G42" s="31" t="n"/>
      <c r="H42" s="31" t="n"/>
      <c r="I42" s="31" t="n"/>
      <c r="J42" s="34" t="n"/>
      <c r="K42" s="121" t="n"/>
      <c r="L42" s="32" t="n"/>
    </row>
    <row r="43" ht="18" customHeight="1">
      <c r="A43" s="42" t="inlineStr">
        <is>
          <t>After Exclusions (Test Strips Only)</t>
        </is>
      </c>
      <c r="B43" s="53" t="n"/>
      <c r="C43" s="43" t="n"/>
      <c r="D43" s="122" t="inlineStr">
        <is>
          <t>N/A</t>
        </is>
      </c>
      <c r="E43" s="38" t="n"/>
      <c r="F43" s="42" t="inlineStr">
        <is>
          <t>(Q) Not Used</t>
        </is>
      </c>
      <c r="G43" s="53" t="n"/>
      <c r="H43" s="53" t="n"/>
      <c r="I43" s="53" t="n"/>
      <c r="J43" s="43" t="n"/>
      <c r="K43" s="123" t="n"/>
      <c r="L43" s="57" t="n"/>
    </row>
    <row r="44" ht="18" customHeight="1">
      <c r="A44" s="42" t="inlineStr">
        <is>
          <t>(N) Correlation Factor (Gauge to Cores)</t>
        </is>
      </c>
      <c r="B44" s="53" t="n"/>
      <c r="C44" s="43" t="n"/>
      <c r="D44" s="124">
        <f>IF(ISNUMBER($K$23),$K$23,"")</f>
        <v>0.021</v>
      </c>
      <c r="E44" s="38" t="n"/>
      <c r="F44" s="42" t="inlineStr">
        <is>
          <t>(R) Maximum Theoretical Specific Gravity (Gmm)</t>
        </is>
      </c>
      <c r="G44" s="53" t="n"/>
      <c r="H44" s="53" t="n"/>
      <c r="I44" s="53" t="n"/>
      <c r="J44" s="43" t="n"/>
      <c r="K44" s="125">
        <f>IF(ISNUMBER($K$16),$K$16,"")</f>
        <v>2.512</v>
      </c>
      <c r="L44" s="57" t="n"/>
    </row>
    <row r="45" ht="18" customHeight="1">
      <c r="A45" s="47" t="inlineStr">
        <is>
          <t>(O) Corrected In-Place Density (M + N)</t>
        </is>
      </c>
      <c r="B45" s="60" t="n"/>
      <c r="C45" s="48" t="n"/>
      <c r="D45" s="126">
        <f>IF(AND(ISNUMBER(D42),ISNUMBER(D44)),ROUND(D42+D44,2),"")</f>
        <v>2.39</v>
      </c>
      <c r="E45" s="61" t="n"/>
      <c r="F45" s="47" t="inlineStr">
        <is>
          <t>(S) Relative Density (O / R), %</t>
        </is>
      </c>
      <c r="G45" s="60" t="n"/>
      <c r="H45" s="60" t="n"/>
      <c r="I45" s="60" t="n"/>
      <c r="J45" s="48" t="n"/>
      <c r="K45" s="127">
        <f>IF(AND(ISNUMBER(D45),ISNUMBER(K44)),IF(K44&gt;0,ROUND(D45/K44*100,1),""),"")</f>
        <v>95.1</v>
      </c>
      <c r="L45" s="61" t="n"/>
    </row>
    <row r="46" ht="28" customHeight="1">
      <c r="A46" s="128" t="inlineStr">
        <is>
          <t>Americans with Disabilities Act (ADA) Notice: This document is available in alternative accessible formats. For more information, please contact the Forms Management Unit at (279) 234-2284, TTY 711, in writing at Forms Management Unit, 1120 N Street, MS-89, Sacramento, CA 95814, or by email at Forms.Management.Unit@dot.ca.gov.</t>
        </is>
      </c>
      <c r="B46" s="3" t="n"/>
      <c r="C46" s="3" t="n"/>
      <c r="D46" s="3" t="n"/>
      <c r="E46" s="3" t="n"/>
      <c r="F46" s="3" t="n"/>
      <c r="G46" s="3" t="n"/>
      <c r="H46" s="3" t="n"/>
      <c r="I46" s="3" t="n"/>
      <c r="J46" s="3" t="n"/>
      <c r="K46" s="3" t="n"/>
      <c r="L46" s="4" t="n"/>
    </row>
    <row r="47" hidden="1">
      <c r="A47" s="129" t="inlineStr">
        <is>
          <t>Helpers for the formulas above. Do not edit.</t>
        </is>
      </c>
    </row>
    <row r="48" hidden="1">
      <c r="A48" s="129" t="inlineStr">
        <is>
          <t>Sites / block in use</t>
        </is>
      </c>
      <c r="C48">
        <f>IF(ISNUMBER(F25),MIN(10,MAX(1,INT(F25))),10)</f>
        <v>10</v>
      </c>
      <c r="D48">
        <f>IF(I32="","",IF(ISNUMBER(I32),MOD(INT(I32),10),IFERROR(MOD(INT(VALUE(I32)),10),"")))</f>
        <v>0</v>
      </c>
    </row>
    <row r="49" hidden="1">
      <c r="A49" s="129" t="inlineStr">
        <is>
          <t>Start / finish station</t>
        </is>
      </c>
      <c r="C49">
        <f>IF(ISNUMBER(I12),I12,IF(TRIM(I12)="","",IFERROR(VALUE(SUBSTITUTE(SUBSTITUTE(TRIM(I12),"+","")," ","")),"")))</f>
        <v>69859</v>
      </c>
      <c r="D49">
        <f>IF(ISNUMBER(I13),I13,IF(TRIM(I13)="","",IFERROR(VALUE(SUBSTITUTE(SUBSTITUTE(TRIM(I13),"+","")," ","")),"")))</f>
        <v>70877</v>
      </c>
    </row>
    <row r="50" hidden="1">
      <c r="A50" s="129" t="inlineStr">
        <is>
          <t>Pairs from the table: longit.</t>
        </is>
      </c>
      <c r="C50">
        <f>IF(OR($D$48="",(COLUMN()-2)&gt;$C$48),"",IF($G$32=1,IF($D$48&lt;5,INDEX('Table 1'!$B$5:$K$14,(COLUMN()-2),2*$D$48+1),INDEX('Table 1'!$B$17:$K$26,(COLUMN()-2),2*($D$48-5)+1)),IF($D$48&lt;5,INDEX('Table 2'!$B$5:$K$13,(COLUMN()-2),2*$D$48+1),INDEX('Table 2'!$B$16:$K$24,(COLUMN()-2),2*($D$48-5)+1))))</f>
        <v>0.053</v>
      </c>
      <c r="D50">
        <f>IF(OR($D$48="",(COLUMN()-2)&gt;$C$48),"",IF($G$32=1,IF($D$48&lt;5,INDEX('Table 1'!$B$5:$K$14,(COLUMN()-2),2*$D$48+1),INDEX('Table 1'!$B$17:$K$26,(COLUMN()-2),2*($D$48-5)+1)),IF($D$48&lt;5,INDEX('Table 2'!$B$5:$K$13,(COLUMN()-2),2*$D$48+1),INDEX('Table 2'!$B$16:$K$24,(COLUMN()-2),2*($D$48-5)+1))))</f>
        <v>0.081</v>
      </c>
      <c r="E50">
        <f>IF(OR($D$48="",(COLUMN()-2)&gt;$C$48),"",IF($G$32=1,IF($D$48&lt;5,INDEX('Table 1'!$B$5:$K$14,(COLUMN()-2),2*$D$48+1),INDEX('Table 1'!$B$17:$K$26,(COLUMN()-2),2*($D$48-5)+1)),IF($D$48&lt;5,INDEX('Table 2'!$B$5:$K$13,(COLUMN()-2),2*$D$48+1),INDEX('Table 2'!$B$16:$K$24,(COLUMN()-2),2*($D$48-5)+1))))</f>
        <v>0.095</v>
      </c>
      <c r="F50">
        <f>IF(OR($D$48="",(COLUMN()-2)&gt;$C$48),"",IF($G$32=1,IF($D$48&lt;5,INDEX('Table 1'!$B$5:$K$14,(COLUMN()-2),2*$D$48+1),INDEX('Table 1'!$B$17:$K$26,(COLUMN()-2),2*($D$48-5)+1)),IF($D$48&lt;5,INDEX('Table 2'!$B$5:$K$13,(COLUMN()-2),2*$D$48+1),INDEX('Table 2'!$B$16:$K$24,(COLUMN()-2),2*($D$48-5)+1))))</f>
        <v>0.576</v>
      </c>
      <c r="G50">
        <f>IF(OR($D$48="",(COLUMN()-2)&gt;$C$48),"",IF($G$32=1,IF($D$48&lt;5,INDEX('Table 1'!$B$5:$K$14,(COLUMN()-2),2*$D$48+1),INDEX('Table 1'!$B$17:$K$26,(COLUMN()-2),2*($D$48-5)+1)),IF($D$48&lt;5,INDEX('Table 2'!$B$5:$K$13,(COLUMN()-2),2*$D$48+1),INDEX('Table 2'!$B$16:$K$24,(COLUMN()-2),2*($D$48-5)+1))))</f>
        <v>0.609</v>
      </c>
      <c r="H50">
        <f>IF(OR($D$48="",(COLUMN()-2)&gt;$C$48),"",IF($G$32=1,IF($D$48&lt;5,INDEX('Table 1'!$B$5:$K$14,(COLUMN()-2),2*$D$48+1),INDEX('Table 1'!$B$17:$K$26,(COLUMN()-2),2*($D$48-5)+1)),IF($D$48&lt;5,INDEX('Table 2'!$B$5:$K$13,(COLUMN()-2),2*$D$48+1),INDEX('Table 2'!$B$16:$K$24,(COLUMN()-2),2*($D$48-5)+1))))</f>
        <v>0.669</v>
      </c>
      <c r="I50">
        <f>IF(OR($D$48="",(COLUMN()-2)&gt;$C$48),"",IF($G$32=1,IF($D$48&lt;5,INDEX('Table 1'!$B$5:$K$14,(COLUMN()-2),2*$D$48+1),INDEX('Table 1'!$B$17:$K$26,(COLUMN()-2),2*($D$48-5)+1)),IF($D$48&lt;5,INDEX('Table 2'!$B$5:$K$13,(COLUMN()-2),2*$D$48+1),INDEX('Table 2'!$B$16:$K$24,(COLUMN()-2),2*($D$48-5)+1))))</f>
        <v>0.81</v>
      </c>
      <c r="J50">
        <f>IF(OR($D$48="",(COLUMN()-2)&gt;$C$48),"",IF($G$32=1,IF($D$48&lt;5,INDEX('Table 1'!$B$5:$K$14,(COLUMN()-2),2*$D$48+1),INDEX('Table 1'!$B$17:$K$26,(COLUMN()-2),2*($D$48-5)+1)),IF($D$48&lt;5,INDEX('Table 2'!$B$5:$K$13,(COLUMN()-2),2*$D$48+1),INDEX('Table 2'!$B$16:$K$24,(COLUMN()-2),2*($D$48-5)+1))))</f>
        <v>0.892</v>
      </c>
      <c r="K50">
        <f>IF(OR($D$48="",(COLUMN()-2)&gt;$C$48),"",IF($G$32=1,IF($D$48&lt;5,INDEX('Table 1'!$B$5:$K$14,(COLUMN()-2),2*$D$48+1),INDEX('Table 1'!$B$17:$K$26,(COLUMN()-2),2*($D$48-5)+1)),IF($D$48&lt;5,INDEX('Table 2'!$B$5:$K$13,(COLUMN()-2),2*$D$48+1),INDEX('Table 2'!$B$16:$K$24,(COLUMN()-2),2*($D$48-5)+1))))</f>
        <v>0.971</v>
      </c>
      <c r="L50">
        <f>IF(OR($D$48="",(COLUMN()-2)&gt;$C$48),"",IF($G$32=1,IF($D$48&lt;5,INDEX('Table 1'!$B$5:$K$14,(COLUMN()-2),2*$D$48+1),INDEX('Table 1'!$B$17:$K$26,(COLUMN()-2),2*($D$48-5)+1)),IF($D$48&lt;5,INDEX('Table 2'!$B$5:$K$13,(COLUMN()-2),2*$D$48+1),INDEX('Table 2'!$B$16:$K$24,(COLUMN()-2),2*($D$48-5)+1))))</f>
        <v>0.982</v>
      </c>
    </row>
    <row r="51" hidden="1">
      <c r="A51" s="129" t="inlineStr">
        <is>
          <t>Pairs from the table: trans.</t>
        </is>
      </c>
      <c r="C51">
        <f>IF(OR($D$48="",(COLUMN()-2)&gt;$C$48),"",IF($G$32=1,IF($D$48&lt;5,INDEX('Table 1'!$B$5:$K$14,(COLUMN()-2),2*$D$48+2),INDEX('Table 1'!$B$17:$K$26,(COLUMN()-2),2*($D$48-5)+2)),IF($D$48&lt;5,INDEX('Table 2'!$B$5:$K$13,(COLUMN()-2),2*$D$48+2),INDEX('Table 2'!$B$16:$K$24,(COLUMN()-2),2*($D$48-5)+2))))</f>
        <v>0.73</v>
      </c>
      <c r="D51">
        <f>IF(OR($D$48="",(COLUMN()-2)&gt;$C$48),"",IF($G$32=1,IF($D$48&lt;5,INDEX('Table 1'!$B$5:$K$14,(COLUMN()-2),2*$D$48+2),INDEX('Table 1'!$B$17:$K$26,(COLUMN()-2),2*($D$48-5)+2)),IF($D$48&lt;5,INDEX('Table 2'!$B$5:$K$13,(COLUMN()-2),2*$D$48+2),INDEX('Table 2'!$B$16:$K$24,(COLUMN()-2),2*($D$48-5)+2))))</f>
        <v>0.948</v>
      </c>
      <c r="E51">
        <f>IF(OR($D$48="",(COLUMN()-2)&gt;$C$48),"",IF($G$32=1,IF($D$48&lt;5,INDEX('Table 1'!$B$5:$K$14,(COLUMN()-2),2*$D$48+2),INDEX('Table 1'!$B$17:$K$26,(COLUMN()-2),2*($D$48-5)+2)),IF($D$48&lt;5,INDEX('Table 2'!$B$5:$K$13,(COLUMN()-2),2*$D$48+2),INDEX('Table 2'!$B$16:$K$24,(COLUMN()-2),2*($D$48-5)+2))))</f>
        <v>0.726</v>
      </c>
      <c r="F51">
        <f>IF(OR($D$48="",(COLUMN()-2)&gt;$C$48),"",IF($G$32=1,IF($D$48&lt;5,INDEX('Table 1'!$B$5:$K$14,(COLUMN()-2),2*$D$48+2),INDEX('Table 1'!$B$17:$K$26,(COLUMN()-2),2*($D$48-5)+2)),IF($D$48&lt;5,INDEX('Table 2'!$B$5:$K$13,(COLUMN()-2),2*$D$48+2),INDEX('Table 2'!$B$16:$K$24,(COLUMN()-2),2*($D$48-5)+2))))</f>
        <v>0.482</v>
      </c>
      <c r="G51">
        <f>IF(OR($D$48="",(COLUMN()-2)&gt;$C$48),"",IF($G$32=1,IF($D$48&lt;5,INDEX('Table 1'!$B$5:$K$14,(COLUMN()-2),2*$D$48+2),INDEX('Table 1'!$B$17:$K$26,(COLUMN()-2),2*($D$48-5)+2)),IF($D$48&lt;5,INDEX('Table 2'!$B$5:$K$13,(COLUMN()-2),2*$D$48+2),INDEX('Table 2'!$B$16:$K$24,(COLUMN()-2),2*($D$48-5)+2))))</f>
        <v>0.824</v>
      </c>
      <c r="H51">
        <f>IF(OR($D$48="",(COLUMN()-2)&gt;$C$48),"",IF($G$32=1,IF($D$48&lt;5,INDEX('Table 1'!$B$5:$K$14,(COLUMN()-2),2*$D$48+2),INDEX('Table 1'!$B$17:$K$26,(COLUMN()-2),2*($D$48-5)+2)),IF($D$48&lt;5,INDEX('Table 2'!$B$5:$K$13,(COLUMN()-2),2*$D$48+2),INDEX('Table 2'!$B$16:$K$24,(COLUMN()-2),2*($D$48-5)+2))))</f>
        <v>0.899</v>
      </c>
      <c r="I51">
        <f>IF(OR($D$48="",(COLUMN()-2)&gt;$C$48),"",IF($G$32=1,IF($D$48&lt;5,INDEX('Table 1'!$B$5:$K$14,(COLUMN()-2),2*$D$48+2),INDEX('Table 1'!$B$17:$K$26,(COLUMN()-2),2*($D$48-5)+2)),IF($D$48&lt;5,INDEX('Table 2'!$B$5:$K$13,(COLUMN()-2),2*$D$48+2),INDEX('Table 2'!$B$16:$K$24,(COLUMN()-2),2*($D$48-5)+2))))</f>
        <v>0.159</v>
      </c>
      <c r="J51">
        <f>IF(OR($D$48="",(COLUMN()-2)&gt;$C$48),"",IF($G$32=1,IF($D$48&lt;5,INDEX('Table 1'!$B$5:$K$14,(COLUMN()-2),2*$D$48+2),INDEX('Table 1'!$B$17:$K$26,(COLUMN()-2),2*($D$48-5)+2)),IF($D$48&lt;5,INDEX('Table 2'!$B$5:$K$13,(COLUMN()-2),2*$D$48+2),INDEX('Table 2'!$B$16:$K$24,(COLUMN()-2),2*($D$48-5)+2))))</f>
        <v>0.277</v>
      </c>
      <c r="K51">
        <f>IF(OR($D$48="",(COLUMN()-2)&gt;$C$48),"",IF($G$32=1,IF($D$48&lt;5,INDEX('Table 1'!$B$5:$K$14,(COLUMN()-2),2*$D$48+2),INDEX('Table 1'!$B$17:$K$26,(COLUMN()-2),2*($D$48-5)+2)),IF($D$48&lt;5,INDEX('Table 2'!$B$5:$K$13,(COLUMN()-2),2*$D$48+2),INDEX('Table 2'!$B$16:$K$24,(COLUMN()-2),2*($D$48-5)+2))))</f>
        <v>0.468</v>
      </c>
      <c r="L51">
        <f>IF(OR($D$48="",(COLUMN()-2)&gt;$C$48),"",IF($G$32=1,IF($D$48&lt;5,INDEX('Table 1'!$B$5:$K$14,(COLUMN()-2),2*$D$48+2),INDEX('Table 1'!$B$17:$K$26,(COLUMN()-2),2*($D$48-5)+2)),IF($D$48&lt;5,INDEX('Table 2'!$B$5:$K$13,(COLUMN()-2),2*$D$48+2),INDEX('Table 2'!$B$16:$K$24,(COLUMN()-2),2*($D$48-5)+2))))</f>
        <v>0.801</v>
      </c>
    </row>
    <row r="52" hidden="1">
      <c r="A52" s="129" t="inlineStr">
        <is>
          <t>Sort key</t>
        </is>
      </c>
      <c r="C52">
        <f>IF(C50="","",C50+(COLUMN()-2)/1000000)</f>
        <v>0.053001</v>
      </c>
      <c r="D52">
        <f>IF(D50="","",D50+(COLUMN()-2)/1000000)</f>
        <v>0.081002</v>
      </c>
      <c r="E52">
        <f>IF(E50="","",E50+(COLUMN()-2)/1000000)</f>
        <v>0.095003</v>
      </c>
      <c r="F52">
        <f>IF(F50="","",F50+(COLUMN()-2)/1000000)</f>
        <v>0.576004</v>
      </c>
      <c r="G52">
        <f>IF(G50="","",G50+(COLUMN()-2)/1000000)</f>
        <v>0.609005</v>
      </c>
      <c r="H52">
        <f>IF(H50="","",H50+(COLUMN()-2)/1000000)</f>
        <v>0.669006</v>
      </c>
      <c r="I52">
        <f>IF(I50="","",I50+(COLUMN()-2)/1000000)</f>
        <v>0.810007</v>
      </c>
      <c r="J52">
        <f>IF(J50="","",J50+(COLUMN()-2)/1000000)</f>
        <v>0.892008</v>
      </c>
      <c r="K52">
        <f>IF(K50="","",K50+(COLUMN()-2)/1000000)</f>
        <v>0.971009</v>
      </c>
      <c r="L52">
        <f>IF(L50="","",L50+(COLUMN()-2)/1000000)</f>
        <v>0.98201</v>
      </c>
    </row>
    <row r="53" hidden="1">
      <c r="A53" s="129" t="inlineStr">
        <is>
          <t>Sorted key</t>
        </is>
      </c>
      <c r="C53">
        <f>IF((COLUMN()-2)&gt;COUNT($C$52:$L$52),"",SMALL($C$52:$L$52,(COLUMN()-2)))</f>
        <v>0.053001</v>
      </c>
      <c r="D53">
        <f>IF((COLUMN()-2)&gt;COUNT($C$52:$L$52),"",SMALL($C$52:$L$52,(COLUMN()-2)))</f>
        <v>0.081002</v>
      </c>
      <c r="E53">
        <f>IF((COLUMN()-2)&gt;COUNT($C$52:$L$52),"",SMALL($C$52:$L$52,(COLUMN()-2)))</f>
        <v>0.095003</v>
      </c>
      <c r="F53">
        <f>IF((COLUMN()-2)&gt;COUNT($C$52:$L$52),"",SMALL($C$52:$L$52,(COLUMN()-2)))</f>
        <v>0.576004</v>
      </c>
      <c r="G53">
        <f>IF((COLUMN()-2)&gt;COUNT($C$52:$L$52),"",SMALL($C$52:$L$52,(COLUMN()-2)))</f>
        <v>0.609005</v>
      </c>
      <c r="H53">
        <f>IF((COLUMN()-2)&gt;COUNT($C$52:$L$52),"",SMALL($C$52:$L$52,(COLUMN()-2)))</f>
        <v>0.669006</v>
      </c>
      <c r="I53">
        <f>IF((COLUMN()-2)&gt;COUNT($C$52:$L$52),"",SMALL($C$52:$L$52,(COLUMN()-2)))</f>
        <v>0.810007</v>
      </c>
      <c r="J53">
        <f>IF((COLUMN()-2)&gt;COUNT($C$52:$L$52),"",SMALL($C$52:$L$52,(COLUMN()-2)))</f>
        <v>0.892008</v>
      </c>
      <c r="K53">
        <f>IF((COLUMN()-2)&gt;COUNT($C$52:$L$52),"",SMALL($C$52:$L$52,(COLUMN()-2)))</f>
        <v>0.971009</v>
      </c>
      <c r="L53">
        <f>IF((COLUMN()-2)&gt;COUNT($C$52:$L$52),"",SMALL($C$52:$L$52,(COLUMN()-2)))</f>
        <v>0.98201</v>
      </c>
    </row>
  </sheetData>
  <sheetProtection selectLockedCells="1" selectUnlockedCells="0" sheet="1" objects="1" insertRows="1" insertHyperlinks="1" autoFilter="1" scenarios="1" formatColumns="0" deleteColumns="1" insertColumns="1" pivotTables="1" deleteRows="1" formatCells="1" formatRows="0" sort="1"/>
  <mergeCells count="109">
    <mergeCell ref="G21:H21"/>
    <mergeCell ref="I14:L14"/>
    <mergeCell ref="A23:J23"/>
    <mergeCell ref="F5:H5"/>
    <mergeCell ref="I1:L1"/>
    <mergeCell ref="A46:L46"/>
    <mergeCell ref="A11:E11"/>
    <mergeCell ref="D45:E45"/>
    <mergeCell ref="A26:L26"/>
    <mergeCell ref="F45:J45"/>
    <mergeCell ref="G18:H18"/>
    <mergeCell ref="A43:C43"/>
    <mergeCell ref="I18:J18"/>
    <mergeCell ref="A3:H3"/>
    <mergeCell ref="F14:H14"/>
    <mergeCell ref="A33:B33"/>
    <mergeCell ref="K42:L42"/>
    <mergeCell ref="B14:E14"/>
    <mergeCell ref="A35:B35"/>
    <mergeCell ref="G20:H20"/>
    <mergeCell ref="I20:J20"/>
    <mergeCell ref="B13:E13"/>
    <mergeCell ref="A19:B19"/>
    <mergeCell ref="C19:D19"/>
    <mergeCell ref="F12:H12"/>
    <mergeCell ref="B25:C25"/>
    <mergeCell ref="F10:G10"/>
    <mergeCell ref="F6:G6"/>
    <mergeCell ref="A6:E6"/>
    <mergeCell ref="K21:L21"/>
    <mergeCell ref="I13:L13"/>
    <mergeCell ref="A37:B37"/>
    <mergeCell ref="I15:L15"/>
    <mergeCell ref="C32:E32"/>
    <mergeCell ref="K43:L43"/>
    <mergeCell ref="A44:C44"/>
    <mergeCell ref="H7:L7"/>
    <mergeCell ref="A31:L31"/>
    <mergeCell ref="A5:E5"/>
    <mergeCell ref="I32:L32"/>
    <mergeCell ref="F9:G9"/>
    <mergeCell ref="A24:L24"/>
    <mergeCell ref="A4:E4"/>
    <mergeCell ref="G25:H25"/>
    <mergeCell ref="I19:J19"/>
    <mergeCell ref="K19:L19"/>
    <mergeCell ref="C18:D18"/>
    <mergeCell ref="E18:F18"/>
    <mergeCell ref="F15:H15"/>
    <mergeCell ref="A34:B34"/>
    <mergeCell ref="K16:L16"/>
    <mergeCell ref="A22:J22"/>
    <mergeCell ref="B15:E15"/>
    <mergeCell ref="K5:L5"/>
    <mergeCell ref="A36:B36"/>
    <mergeCell ref="K45:L45"/>
    <mergeCell ref="F7:G7"/>
    <mergeCell ref="C20:D20"/>
    <mergeCell ref="A2:L2"/>
    <mergeCell ref="A42:C42"/>
    <mergeCell ref="E20:F20"/>
    <mergeCell ref="A16:E16"/>
    <mergeCell ref="F13:H13"/>
    <mergeCell ref="H6:L6"/>
    <mergeCell ref="K44:L44"/>
    <mergeCell ref="F11:L11"/>
    <mergeCell ref="F8:G8"/>
    <mergeCell ref="I21:J21"/>
    <mergeCell ref="A21:B21"/>
    <mergeCell ref="A29:L29"/>
    <mergeCell ref="C21:D21"/>
    <mergeCell ref="A32:B32"/>
    <mergeCell ref="K23:L23"/>
    <mergeCell ref="D25:E25"/>
    <mergeCell ref="A38:B38"/>
    <mergeCell ref="B12:D12"/>
    <mergeCell ref="K18:L18"/>
    <mergeCell ref="H8:L8"/>
    <mergeCell ref="F44:J44"/>
    <mergeCell ref="F16:J16"/>
    <mergeCell ref="H10:L10"/>
    <mergeCell ref="A1:H1"/>
    <mergeCell ref="A27:L27"/>
    <mergeCell ref="H9:L9"/>
    <mergeCell ref="K20:L20"/>
    <mergeCell ref="A7:E7"/>
    <mergeCell ref="E19:F19"/>
    <mergeCell ref="G19:H19"/>
    <mergeCell ref="F42:J42"/>
    <mergeCell ref="A17:L17"/>
    <mergeCell ref="A18:B18"/>
    <mergeCell ref="K22:L22"/>
    <mergeCell ref="D43:E43"/>
    <mergeCell ref="A28:L28"/>
    <mergeCell ref="F4:H4"/>
    <mergeCell ref="I5:J5"/>
    <mergeCell ref="A8:E8"/>
    <mergeCell ref="A30:L30"/>
    <mergeCell ref="A20:B20"/>
    <mergeCell ref="I4:J4"/>
    <mergeCell ref="F43:J43"/>
    <mergeCell ref="D42:E42"/>
    <mergeCell ref="A45:C45"/>
    <mergeCell ref="A10:E10"/>
    <mergeCell ref="I12:L12"/>
    <mergeCell ref="K4:L4"/>
    <mergeCell ref="D44:E44"/>
    <mergeCell ref="A9:E9"/>
    <mergeCell ref="E21:F21"/>
  </mergeCells>
  <conditionalFormatting sqref="E12">
    <cfRule type="containsText" priority="1" operator="containsText" dxfId="0" text="12 MO">
      <formula>NOT(ISERROR(SEARCH("12 MO",E12)))</formula>
    </cfRule>
  </conditionalFormatting>
  <conditionalFormatting sqref="I14">
    <cfRule type="containsText" priority="2" operator="containsText" dxfId="0" text="CHECK">
      <formula>NOT(ISERROR(SEARCH("CHECK",I14)))</formula>
    </cfRule>
  </conditionalFormatting>
  <conditionalFormatting sqref="F25">
    <cfRule type="containsText" priority="3" operator="containsText" dxfId="0" text="MAX">
      <formula>NOT(ISERROR(SEARCH("MAX",F25)))</formula>
    </cfRule>
  </conditionalFormatting>
  <conditionalFormatting sqref="L25">
    <cfRule type="cellIs" priority="4" operator="equal" dxfId="1">
      <formula>"PASS"</formula>
    </cfRule>
    <cfRule type="cellIs" priority="5" operator="equal" dxfId="0">
      <formula>"LOW"</formula>
    </cfRule>
    <cfRule type="cellIs" priority="6" operator="equal" dxfId="0">
      <formula>"HIGH"</formula>
    </cfRule>
  </conditionalFormatting>
  <conditionalFormatting sqref="C41:L41">
    <cfRule type="containsText" priority="7" operator="containsText" dxfId="0" text="RETEST">
      <formula>NOT(ISERROR(SEARCH("RETEST",C41)))</formula>
    </cfRule>
  </conditionalFormatting>
  <conditionalFormatting sqref="K45">
    <cfRule type="cellIs" priority="8" operator="between" dxfId="1">
      <formula>$I$25</formula>
      <formula>$J$25</formula>
    </cfRule>
  </conditionalFormatting>
  <dataValidations count="20">
    <dataValidation sqref="A5:E5" showDropDown="0" showInputMessage="1" showErrorMessage="0" allowBlank="1" errorTitle="Project" error="Contract / EA, Co-Rte-PM and a description, one per line. Enter goes to the next line." promptTitle="Project" prompt="Contract / EA, Co-Rte-PM and a description, one per line. Enter goes to the next line." errorStyle="stop"/>
    <dataValidation sqref="K5:L5" showDropDown="0" showInputMessage="1" showErrorMessage="1" allowBlank="1" errorTitle="Date" error="Enter a date, e.g. 6/11/2026." promptTitle="Date" prompt="Test date, e.g. 6/11/2026." type="date" errorStyle="stop" operator="between">
      <formula1>DATE(1990,1,1)</formula1>
      <formula2>DATE(2100,12,31)</formula2>
    </dataValidation>
    <dataValidation sqref="H10:L10" showDropDown="0" showInputMessage="1" showErrorMessage="1" allowBlank="1" errorTitle="Lift Thickness, ft" error="Enter the thickness in feet, e.g. 0.18." promptTitle="Lift Thickness, ft" prompt="Compacted thickness in feet, e.g. 0.18. CT 375 applies to lifts of 0.10 ft or more." type="decimal" errorStyle="warning" operator="between">
      <formula1>0.05</formula1>
      <formula2>1</formula2>
    </dataValidation>
    <dataValidation sqref="B12:D12" showDropDown="0" showInputMessage="1" showErrorMessage="1" allowBlank="1" errorTitle="Date of Last Calibration" error="Enter a date, e.g. 12/5/2025." promptTitle="Date of Last Calibration" prompt="Must be within 12 months of the test date (CT 375 1B); shows &gt; 12 MO if not." type="date" errorStyle="stop" operator="between">
      <formula1>DATE(1990,1,1)</formula1>
      <formula2>DATE(2100,12,31)</formula2>
    </dataValidation>
    <dataValidation sqref="B14:E14" showDropDown="0" showInputMessage="1" showErrorMessage="1" allowBlank="1" errorTitle="(A) Standard Count" error="Enter the standard count as a whole number." promptTitle="(A) Standard Count" prompt="Today's 4-minute count on the reference block. Its last digit picks the random-number block." type="whole" errorStyle="stop" operator="between">
      <formula1>1</formula1>
      <formula2>999999</formula2>
    </dataValidation>
    <dataValidation sqref="I12:L12" showDropDown="0" showInputMessage="1" showErrorMessage="0" allowBlank="1" errorTitle="(B) Start Station" error="Type the station either way: 69859 or 698+59." promptTitle="(B) Start Station" prompt="Type the station either way: 69859 or 698+59." errorStyle="stop"/>
    <dataValidation sqref="I13:L13" showDropDown="0" showInputMessage="1" showErrorMessage="0" allowBlank="1" errorTitle="(C) Finish Station" error="Type the station either way: 69859 or 698+59." promptTitle="(C) Finish Station" prompt="Type the station either way: 69859 or 698+59." errorStyle="stop"/>
    <dataValidation sqref="I15:L15" showDropDown="0" showInputMessage="1" showErrorMessage="1" allowBlank="1" errorTitle="(E) Lane Width, ft" error="Enter the lane width in feet, e.g. 12." promptTitle="(E) Lane Width, ft" prompt="Width of the lane being tested, in feet." type="decimal" errorStyle="stop" operator="between">
      <formula1>2</formula1>
      <formula2>200</formula2>
    </dataValidation>
    <dataValidation sqref="K16:L16" showDropDown="0" showInputMessage="1" showErrorMessage="1" allowBlank="1" errorTitle="(F) Gmm" error="Enter Gmm, e.g. 2.512." promptTitle="(F) Gmm" prompt="Maximum theoretical specific gravity (AASHTO T 209), e.g. 2.512. Line R repeats it." type="decimal" errorStyle="stop" operator="between">
      <formula1>1.5</formula1>
      <formula2>3.5</formula2>
    </dataValidation>
    <dataValidation sqref="C19:L19" showDropDown="0" showInputMessage="1" showErrorMessage="1" allowBlank="1" errorTitle="Core Density" error="Enter a density, e.g. 2.385." promptTitle="Core Density" prompt="Core density (AASHTO T 275 bulk specific gravity) at this location." type="decimal" errorStyle="stop" operator="between">
      <formula1>1</formula1>
      <formula2>3.5</formula2>
    </dataValidation>
    <dataValidation sqref="C20:L20" showDropDown="0" showInputMessage="1" showErrorMessage="1" allowBlank="1" errorTitle="Gauge Density" error="Enter a density in g/cc, e.g. 2.36." promptTitle="Gauge Density" prompt="Gauge density at the same spot, before coring, in g/cc." type="decimal" errorStyle="stop" operator="between">
      <formula1>1</formula1>
      <formula2>3.5</formula2>
    </dataValidation>
    <dataValidation sqref="B25:C25" showDropDown="0" showInputMessage="1" showErrorMessage="1" allowBlank="1" errorTitle="Tons in the test area" error="Enter the tonnage as a number." promptTitle="Tons in the test area" prompt="Sets the number of test sites (CT 375 3A): 1 per 50 t or portion, at least 5, 10 for 451-500 t." type="decimal" errorStyle="stop" operator="between">
      <formula1>0.01</formula1>
      <formula2>1000000</formula2>
    </dataValidation>
    <dataValidation sqref="F25" showDropDown="0" showInputMessage="1" showErrorMessage="1" allowBlank="1" errorTitle="Test sites" error="Enter a whole number from 1 to 10." promptTitle="Test sites" prompt="From the tonnage (CT 375 3A). Type 1-10 to set it yourself." type="whole" errorStyle="stop" operator="between">
      <formula1>1</formula1>
      <formula2>10</formula2>
    </dataValidation>
    <dataValidation sqref="A26:L31" showDropDown="0" showInputMessage="1" showErrorMessage="0" allowBlank="1" errorTitle="Field Notes" error="One line per row: press Enter for the next line." promptTitle="Field Notes" prompt="One line per row: press Enter for the next line." errorStyle="stop"/>
    <dataValidation sqref="I25" showDropDown="0" showInputMessage="1" showErrorMessage="1" allowBlank="1" errorTitle="Spec. range, minimum %" error="Enter a percentage, e.g. 91.0." promptTitle="Spec. range, minimum %" prompt="Lowest relative density your contract allows. 2025 Standard Specifications, Type A HMA: 91.0 to 97.0." type="decimal" errorStyle="stop" operator="between">
      <formula1>50</formula1>
      <formula2>100</formula2>
    </dataValidation>
    <dataValidation sqref="J25" showDropDown="0" showInputMessage="1" showErrorMessage="1" allowBlank="1" errorTitle="Spec. range, maximum %" error="Enter a percentage, e.g. 97.0." promptTitle="Spec. range, maximum %" prompt="Highest relative density your contract allows (97.0 for Type A HMA). Delete it if there is no maximum." type="decimal" errorStyle="stop" operator="between">
      <formula1>50</formula1>
      <formula2>100</formula2>
    </dataValidation>
    <dataValidation sqref="I32:L32" showDropDown="0" showInputMessage="1" showErrorMessage="1" allowBlank="1" errorTitle="Block #" error="The block is a single digit, 0 to 9." promptTitle="Block #" prompt="The last digit of the Standard Count (A). To use a different block, type 0-9." type="whole" errorStyle="stop" operator="between">
      <formula1>0</formula1>
      <formula2>9</formula2>
    </dataValidation>
    <dataValidation sqref="C39:L40" showDropDown="0" showInputMessage="1" showErrorMessage="1" allowBlank="1" errorTitle="Density, g/cc" error="Enter a density in g/cc, e.g. 2.36. (pcf / 62.43 = g/cc)" promptTitle="Density, g/cc" prompt="In g/cc to 0.01. a = first reading; b = after turning the gauge 180 degrees." type="decimal" errorStyle="stop" operator="between">
      <formula1>1</formula1>
      <formula2>3.5</formula2>
    </dataValidation>
    <dataValidation sqref="D43:E43" showDropDown="0" showInputMessage="1" showErrorMessage="0" allowBlank="1" errorTitle="After Exclusions" error="Test strips only. Leave blank, or N/A, otherwise." promptTitle="After Exclusions" prompt="Test strips only. Leave blank, or N/A, otherwise." errorStyle="stop"/>
    <dataValidation sqref="D44:E44" showDropDown="0" showInputMessage="1" showErrorMessage="1" allowBlank="1" errorTitle="(N) Correlation Factor" error="Enter the correlation factor in g/cc, e.g. 0.021." promptTitle="(N) Correlation Factor" prompt="From the Core Correlation Worksheet above. Using a factor from an earlier day? Type it here." type="decimal" errorStyle="stop" operator="between">
      <formula1>-0.5</formula1>
      <formula2>0.5</formula2>
    </dataValidation>
  </dataValidations>
  <printOptions horizontalCentered="1"/>
  <pageMargins left="0.4" right="0.4" top="0.4" bottom="0.4" header="0.2" footer="0.2"/>
  <pageSetup orientation="portrait" paperSize="1" fitToHeight="1" fitToWidth="1"/>
  <ignoredErrors>
    <ignoredError sqref="A1:L80" unlockedFormula="1" formula="1" formulaRange="1" numberStoredAsText="1" emptyCellReference="1" evalError="1"/>
  </ignoredErrors>
</worksheet>
</file>

<file path=xl/worksheets/sheet4.xml><?xml version="1.0" encoding="utf-8"?>
<worksheet xmlns="http://schemas.openxmlformats.org/spreadsheetml/2006/main">
  <sheetPr>
    <tabColor rgb="005F6368"/>
    <outlinePr summaryBelow="1" summaryRight="1"/>
    <pageSetUpPr fitToPage="1"/>
  </sheetPr>
  <dimension ref="A1:L50"/>
  <sheetViews>
    <sheetView showGridLines="0" workbookViewId="0">
      <selection activeCell="A7" sqref="A7"/>
    </sheetView>
  </sheetViews>
  <sheetFormatPr baseColWidth="8" defaultRowHeight="15"/>
  <cols>
    <col width="27.5" customWidth="1" min="1" max="1"/>
    <col width="5.5"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s>
  <sheetData>
    <row r="1" ht="13" customHeight="1">
      <c r="A1" s="26" t="inlineStr">
        <is>
          <t>State of California • Department of Transportation</t>
        </is>
      </c>
      <c r="B1" s="3" t="n"/>
      <c r="C1" s="3" t="n"/>
      <c r="D1" s="3" t="n"/>
      <c r="E1" s="3" t="n"/>
      <c r="F1" s="3" t="n"/>
      <c r="G1" s="3" t="n"/>
      <c r="H1" s="4" t="n"/>
    </row>
    <row r="2" ht="13" customHeight="1">
      <c r="A2" s="26" t="inlineStr">
        <is>
          <t>Division of Engineering Services</t>
        </is>
      </c>
      <c r="B2" s="3" t="n"/>
      <c r="C2" s="3" t="n"/>
      <c r="D2" s="3" t="n"/>
      <c r="E2" s="3" t="n"/>
      <c r="F2" s="3" t="n"/>
      <c r="G2" s="3" t="n"/>
      <c r="H2" s="4" t="n"/>
    </row>
    <row r="3" ht="13" customHeight="1">
      <c r="A3" s="26" t="inlineStr">
        <is>
          <t>Materials Engineering and Testing Services</t>
        </is>
      </c>
      <c r="B3" s="3" t="n"/>
      <c r="C3" s="3" t="n"/>
      <c r="D3" s="3" t="n"/>
      <c r="E3" s="3" t="n"/>
      <c r="F3" s="3" t="n"/>
      <c r="G3" s="3" t="n"/>
      <c r="H3" s="4" t="n"/>
    </row>
    <row r="4" ht="15" customHeight="1">
      <c r="A4" s="131" t="inlineStr">
        <is>
          <t>Form TL-3112 (Rev. 02/04)</t>
        </is>
      </c>
      <c r="B4" s="132" t="n"/>
      <c r="C4" s="132" t="n"/>
      <c r="D4" s="132" t="n"/>
      <c r="E4" s="132" t="n"/>
      <c r="F4" s="132" t="n"/>
      <c r="G4" s="132" t="n"/>
      <c r="H4" s="132" t="n"/>
      <c r="I4" s="132" t="n"/>
      <c r="J4" s="132" t="n"/>
      <c r="K4" s="132" t="n"/>
      <c r="L4" s="132" t="n"/>
    </row>
    <row r="5" ht="26" customHeight="1">
      <c r="A5" s="133" t="inlineStr">
        <is>
          <t>DENSITY AND RELATIVE COMPACTION OF IN-SITU ASPHALT CONCRETE</t>
        </is>
      </c>
      <c r="B5" s="3" t="n"/>
      <c r="C5" s="3" t="n"/>
      <c r="D5" s="3" t="n"/>
      <c r="E5" s="3" t="n"/>
      <c r="F5" s="3" t="n"/>
      <c r="G5" s="3" t="n"/>
      <c r="H5" s="3" t="n"/>
      <c r="I5" s="3" t="n"/>
      <c r="J5" s="3" t="n"/>
      <c r="K5" s="3" t="n"/>
      <c r="L5" s="4" t="n"/>
    </row>
    <row r="6" ht="15" customHeight="1">
      <c r="A6" s="30" t="inlineStr">
        <is>
          <t>PROJECT</t>
        </is>
      </c>
      <c r="B6" s="31" t="n"/>
      <c r="C6" s="31" t="n"/>
      <c r="D6" s="31" t="n"/>
      <c r="E6" s="32" t="n"/>
      <c r="F6" s="33" t="inlineStr">
        <is>
          <t>Tested By</t>
        </is>
      </c>
      <c r="G6" s="31" t="n"/>
      <c r="H6" s="34" t="n"/>
      <c r="I6" s="35" t="inlineStr">
        <is>
          <t>Lot Number</t>
        </is>
      </c>
      <c r="J6" s="34" t="n"/>
      <c r="K6" s="35" t="inlineStr">
        <is>
          <t>Date</t>
        </is>
      </c>
      <c r="L6" s="32" t="n"/>
    </row>
    <row r="7" ht="18" customHeight="1">
      <c r="A7" s="36" t="n"/>
      <c r="B7" s="37" t="n"/>
      <c r="C7" s="37" t="n"/>
      <c r="D7" s="37" t="n"/>
      <c r="E7" s="38" t="n"/>
      <c r="F7" s="36" t="n"/>
      <c r="G7" s="37" t="n"/>
      <c r="H7" s="39" t="n"/>
      <c r="I7" s="40" t="n"/>
      <c r="J7" s="39" t="n"/>
      <c r="K7" s="41" t="n"/>
      <c r="L7" s="38" t="n"/>
    </row>
    <row r="8" ht="18" customHeight="1">
      <c r="A8" s="36" t="n"/>
      <c r="B8" s="37" t="n"/>
      <c r="C8" s="37" t="n"/>
      <c r="D8" s="37" t="n"/>
      <c r="E8" s="38" t="n"/>
      <c r="F8" s="42" t="inlineStr">
        <is>
          <t>Aggregate Source</t>
        </is>
      </c>
      <c r="G8" s="43" t="n"/>
      <c r="H8" s="40" t="n"/>
      <c r="I8" s="37" t="n"/>
      <c r="J8" s="37" t="n"/>
      <c r="K8" s="37" t="n"/>
      <c r="L8" s="38" t="n"/>
    </row>
    <row r="9" ht="18" customHeight="1">
      <c r="A9" s="36" t="n"/>
      <c r="B9" s="37" t="n"/>
      <c r="C9" s="37" t="n"/>
      <c r="D9" s="37" t="n"/>
      <c r="E9" s="38" t="n"/>
      <c r="F9" s="42" t="inlineStr">
        <is>
          <t>AC Mix Number</t>
        </is>
      </c>
      <c r="G9" s="43" t="n"/>
      <c r="H9" s="40" t="n"/>
      <c r="I9" s="37" t="n"/>
      <c r="J9" s="37" t="n"/>
      <c r="K9" s="37" t="n"/>
      <c r="L9" s="38" t="n"/>
    </row>
    <row r="10" ht="18" customHeight="1">
      <c r="A10" s="36" t="n"/>
      <c r="B10" s="37" t="n"/>
      <c r="C10" s="37" t="n"/>
      <c r="D10" s="37" t="n"/>
      <c r="E10" s="38" t="n"/>
      <c r="F10" s="42" t="inlineStr">
        <is>
          <t>Lane Number</t>
        </is>
      </c>
      <c r="G10" s="43" t="n"/>
      <c r="H10" s="40" t="n"/>
      <c r="I10" s="37" t="n"/>
      <c r="J10" s="37" t="n"/>
      <c r="K10" s="37" t="n"/>
      <c r="L10" s="38" t="n"/>
    </row>
    <row r="11" ht="18" customHeight="1">
      <c r="A11" s="36" t="n"/>
      <c r="B11" s="37" t="n"/>
      <c r="C11" s="37" t="n"/>
      <c r="D11" s="37" t="n"/>
      <c r="E11" s="38" t="n"/>
      <c r="F11" s="42" t="inlineStr">
        <is>
          <t>Lift Number</t>
        </is>
      </c>
      <c r="G11" s="43" t="n"/>
      <c r="H11" s="40" t="n"/>
      <c r="I11" s="37" t="n"/>
      <c r="J11" s="37" t="n"/>
      <c r="K11" s="37" t="n"/>
      <c r="L11" s="38" t="n"/>
    </row>
    <row r="12" ht="18" customHeight="1">
      <c r="A12" s="44" t="n"/>
      <c r="B12" s="45" t="n"/>
      <c r="C12" s="45" t="n"/>
      <c r="D12" s="45" t="n"/>
      <c r="E12" s="46" t="n"/>
      <c r="F12" s="47" t="inlineStr">
        <is>
          <t>Lift Thickness, ft</t>
        </is>
      </c>
      <c r="G12" s="48" t="n"/>
      <c r="H12" s="49" t="n"/>
      <c r="I12" s="45" t="n"/>
      <c r="J12" s="45" t="n"/>
      <c r="K12" s="45" t="n"/>
      <c r="L12" s="46" t="n"/>
    </row>
    <row r="13" ht="16" customHeight="1">
      <c r="A13" s="30" t="inlineStr">
        <is>
          <t>NUCLEAR GAGE</t>
        </is>
      </c>
      <c r="B13" s="31" t="n"/>
      <c r="C13" s="31" t="n"/>
      <c r="D13" s="31" t="n"/>
      <c r="E13" s="32" t="n"/>
      <c r="F13" s="30" t="inlineStr">
        <is>
          <t>TEST AREA LIMITS</t>
        </is>
      </c>
      <c r="G13" s="31" t="n"/>
      <c r="H13" s="31" t="n"/>
      <c r="I13" s="31" t="n"/>
      <c r="J13" s="31" t="n"/>
      <c r="K13" s="31" t="n"/>
      <c r="L13" s="32" t="n"/>
    </row>
    <row r="14" ht="18" customHeight="1">
      <c r="A14" s="50" t="inlineStr">
        <is>
          <t>Date of Last Calibration</t>
        </is>
      </c>
      <c r="B14" s="51" t="n"/>
      <c r="C14" s="37" t="n"/>
      <c r="D14" s="39" t="n"/>
      <c r="E14" s="52" t="str">
        <f>IF(AND(ISNUMBER(B14),ISNUMBER(K7)),IF(K7&gt;EDATE(B14,12),"&gt; 12 MO",""),"")</f>
        <v/>
      </c>
      <c r="F14" s="42" t="inlineStr">
        <is>
          <t>(B) Start Station</t>
        </is>
      </c>
      <c r="G14" s="53" t="n"/>
      <c r="H14" s="43" t="n"/>
      <c r="I14" s="54" t="n"/>
      <c r="J14" s="37" t="n"/>
      <c r="K14" s="37" t="n"/>
      <c r="L14" s="38" t="n"/>
    </row>
    <row r="15" ht="18" customHeight="1">
      <c r="A15" s="50" t="inlineStr">
        <is>
          <t>Model &amp; I.D.</t>
        </is>
      </c>
      <c r="B15" s="40" t="n"/>
      <c r="C15" s="37" t="n"/>
      <c r="D15" s="37" t="n"/>
      <c r="E15" s="38" t="n"/>
      <c r="F15" s="42" t="inlineStr">
        <is>
          <t>(C) Finish Station</t>
        </is>
      </c>
      <c r="G15" s="53" t="n"/>
      <c r="H15" s="43" t="n"/>
      <c r="I15" s="54" t="n"/>
      <c r="J15" s="37" t="n"/>
      <c r="K15" s="37" t="n"/>
      <c r="L15" s="38" t="n"/>
    </row>
    <row r="16" ht="18" customHeight="1">
      <c r="A16" s="50" t="inlineStr">
        <is>
          <t>(A) Standard Count</t>
        </is>
      </c>
      <c r="B16" s="55" t="n"/>
      <c r="C16" s="37" t="n"/>
      <c r="D16" s="37" t="n"/>
      <c r="E16" s="38" t="n"/>
      <c r="F16" s="42" t="inlineStr">
        <is>
          <t>(D) Length (C - B), ft</t>
        </is>
      </c>
      <c r="G16" s="53" t="n"/>
      <c r="H16" s="43" t="n"/>
      <c r="I16" s="56" t="str">
        <f>IF(AND(ISNUMBER($C$46),ISNUMBER($D$46)),IF($D$46-$C$46&gt;0,$D$46-$C$46,"CHECK B &amp; C"),IF(AND(TRIM(I14)&lt;&gt;"",TRIM(I15)&lt;&gt;""),"CHECK B &amp; C",""))</f>
        <v/>
      </c>
      <c r="J16" s="53" t="n"/>
      <c r="K16" s="53" t="n"/>
      <c r="L16" s="57" t="n"/>
    </row>
    <row r="17" ht="18" customHeight="1">
      <c r="A17" s="50" t="inlineStr">
        <is>
          <t>Set/Entered Depth Used*</t>
        </is>
      </c>
      <c r="B17" s="40" t="n"/>
      <c r="C17" s="37" t="n"/>
      <c r="D17" s="37" t="n"/>
      <c r="E17" s="38" t="n"/>
      <c r="F17" s="42" t="inlineStr">
        <is>
          <t>(E) Lane Width, ft</t>
        </is>
      </c>
      <c r="G17" s="53" t="n"/>
      <c r="H17" s="43" t="n"/>
      <c r="I17" s="58" t="n"/>
      <c r="J17" s="37" t="n"/>
      <c r="K17" s="37" t="n"/>
      <c r="L17" s="38" t="n"/>
    </row>
    <row r="18" ht="18" customHeight="1">
      <c r="A18" s="59" t="inlineStr">
        <is>
          <t>* Must match value used during correlation.</t>
        </is>
      </c>
      <c r="B18" s="60" t="n"/>
      <c r="C18" s="60" t="n"/>
      <c r="D18" s="60" t="n"/>
      <c r="E18" s="61" t="n"/>
      <c r="F18" s="47" t="inlineStr">
        <is>
          <t>(F) TMD (test area calc), g/cc</t>
        </is>
      </c>
      <c r="G18" s="60" t="n"/>
      <c r="H18" s="48" t="n"/>
      <c r="I18" s="134" t="n"/>
      <c r="J18" s="45" t="n"/>
      <c r="K18" s="45" t="n"/>
      <c r="L18" s="46" t="n"/>
    </row>
    <row r="19" ht="27" customHeight="1">
      <c r="A19" s="71" t="inlineStr">
        <is>
          <t>FIELD NOTES AND CALCULATIONS
(Use back if more room is needed)</t>
        </is>
      </c>
      <c r="B19" s="72" t="n"/>
      <c r="C19" s="72" t="n"/>
      <c r="D19" s="72" t="n"/>
      <c r="E19" s="72" t="n"/>
      <c r="F19" s="72" t="n"/>
      <c r="G19" s="72" t="n"/>
      <c r="H19" s="72" t="n"/>
      <c r="I19" s="72" t="n"/>
      <c r="J19" s="72" t="n"/>
      <c r="K19" s="72" t="n"/>
      <c r="L19" s="73" t="n"/>
    </row>
    <row r="20" ht="19" customHeight="1">
      <c r="A20" s="74" t="inlineStr">
        <is>
          <t>AC tonnage in test area</t>
        </is>
      </c>
      <c r="B20" s="75" t="n"/>
      <c r="C20" s="76" t="n"/>
      <c r="D20" s="77" t="inlineStr">
        <is>
          <t>Test sites</t>
        </is>
      </c>
      <c r="E20" s="48" t="n"/>
      <c r="F20" s="78" t="str">
        <f>IF(NOT(ISNUMBER(B20)),"",IF(B20&gt;500,"500 T MAX",MAX(5,ROUNDUP(B20/50,0))))</f>
        <v/>
      </c>
      <c r="G20" s="77" t="inlineStr">
        <is>
          <t>Spec. min. relative compaction, %</t>
        </is>
      </c>
      <c r="H20" s="60" t="n"/>
      <c r="I20" s="48" t="n"/>
      <c r="J20" s="79" t="n">
        <v>95</v>
      </c>
      <c r="K20" s="81" t="inlineStr">
        <is>
          <t>Result</t>
        </is>
      </c>
      <c r="L20" s="82" t="str">
        <f>IF(NOT(ISNUMBER(K43)),"",IF(AND(ISNUMBER(J20),K43&lt;J20),"LOW","PASS"))</f>
        <v/>
      </c>
    </row>
    <row r="21" ht="17" customHeight="1">
      <c r="A21" s="83" t="n"/>
      <c r="B21" s="84" t="n"/>
      <c r="C21" s="84" t="n"/>
      <c r="D21" s="84" t="n"/>
      <c r="E21" s="84" t="n"/>
      <c r="F21" s="84" t="n"/>
      <c r="G21" s="84" t="n"/>
      <c r="H21" s="84" t="n"/>
      <c r="I21" s="84" t="n"/>
      <c r="J21" s="84" t="n"/>
      <c r="K21" s="84" t="n"/>
      <c r="L21" s="85" t="n"/>
    </row>
    <row r="22" ht="17" customHeight="1">
      <c r="A22" s="86" t="n"/>
      <c r="B22" s="87" t="n"/>
      <c r="C22" s="87" t="n"/>
      <c r="D22" s="87" t="n"/>
      <c r="E22" s="87" t="n"/>
      <c r="F22" s="87" t="n"/>
      <c r="G22" s="87" t="n"/>
      <c r="H22" s="87" t="n"/>
      <c r="I22" s="87" t="n"/>
      <c r="J22" s="87" t="n"/>
      <c r="K22" s="87" t="n"/>
      <c r="L22" s="88" t="n"/>
    </row>
    <row r="23" ht="17" customHeight="1">
      <c r="A23" s="86" t="n"/>
      <c r="B23" s="87" t="n"/>
      <c r="C23" s="87" t="n"/>
      <c r="D23" s="87" t="n"/>
      <c r="E23" s="87" t="n"/>
      <c r="F23" s="87" t="n"/>
      <c r="G23" s="87" t="n"/>
      <c r="H23" s="87" t="n"/>
      <c r="I23" s="87" t="n"/>
      <c r="J23" s="87" t="n"/>
      <c r="K23" s="87" t="n"/>
      <c r="L23" s="88" t="n"/>
    </row>
    <row r="24" ht="17" customHeight="1">
      <c r="A24" s="86" t="n"/>
      <c r="B24" s="87" t="n"/>
      <c r="C24" s="87" t="n"/>
      <c r="D24" s="87" t="n"/>
      <c r="E24" s="87" t="n"/>
      <c r="F24" s="87" t="n"/>
      <c r="G24" s="87" t="n"/>
      <c r="H24" s="87" t="n"/>
      <c r="I24" s="87" t="n"/>
      <c r="J24" s="87" t="n"/>
      <c r="K24" s="87" t="n"/>
      <c r="L24" s="88" t="n"/>
    </row>
    <row r="25" ht="17" customHeight="1">
      <c r="A25" s="89" t="n"/>
      <c r="B25" s="90" t="n"/>
      <c r="C25" s="90" t="n"/>
      <c r="D25" s="90" t="n"/>
      <c r="E25" s="90" t="n"/>
      <c r="F25" s="90" t="n"/>
      <c r="G25" s="90" t="n"/>
      <c r="H25" s="90" t="n"/>
      <c r="I25" s="90" t="n"/>
      <c r="J25" s="90" t="n"/>
      <c r="K25" s="90" t="n"/>
      <c r="L25" s="91" t="n"/>
    </row>
    <row r="26" ht="18" customHeight="1">
      <c r="A26" s="92" t="inlineStr">
        <is>
          <t>COLUMN</t>
        </is>
      </c>
      <c r="B26" s="34" t="n"/>
      <c r="C26" s="93" t="inlineStr">
        <is>
          <t>RANDOM NUMBER</t>
        </is>
      </c>
      <c r="D26" s="31" t="n"/>
      <c r="E26" s="34" t="n"/>
      <c r="F26" s="94" t="inlineStr">
        <is>
          <t>Table #</t>
        </is>
      </c>
      <c r="G26" s="95">
        <f>IF($C$45=10,1,2)</f>
        <v>1</v>
      </c>
      <c r="H26" s="94" t="inlineStr">
        <is>
          <t>Block #</t>
        </is>
      </c>
      <c r="I26" s="96" t="str">
        <f>IF(ISNUMBER(B16),MOD(B16,10),"")</f>
        <v/>
      </c>
      <c r="J26" s="97" t="n"/>
      <c r="K26" s="97" t="n"/>
      <c r="L26" s="98" t="n"/>
    </row>
    <row r="27" ht="18" customHeight="1">
      <c r="A27" s="42" t="inlineStr">
        <is>
          <t>(G) Left (Longitudinal Location)</t>
        </is>
      </c>
      <c r="B27" s="43" t="n"/>
      <c r="C27" s="99" t="str">
        <f>IF(C50="","",INDEX($C$47:$L$47,MATCH(C50,$C$49:$L$49,0)))</f>
        <v/>
      </c>
      <c r="D27" s="99" t="str">
        <f>IF(D50="","",INDEX($C$47:$L$47,MATCH(D50,$C$49:$L$49,0)))</f>
        <v/>
      </c>
      <c r="E27" s="99" t="str">
        <f>IF(E50="","",INDEX($C$47:$L$47,MATCH(E50,$C$49:$L$49,0)))</f>
        <v/>
      </c>
      <c r="F27" s="99" t="str">
        <f>IF(F50="","",INDEX($C$47:$L$47,MATCH(F50,$C$49:$L$49,0)))</f>
        <v/>
      </c>
      <c r="G27" s="99" t="str">
        <f>IF(G50="","",INDEX($C$47:$L$47,MATCH(G50,$C$49:$L$49,0)))</f>
        <v/>
      </c>
      <c r="H27" s="99" t="str">
        <f>IF(H50="","",INDEX($C$47:$L$47,MATCH(H50,$C$49:$L$49,0)))</f>
        <v/>
      </c>
      <c r="I27" s="99" t="str">
        <f>IF(I50="","",INDEX($C$47:$L$47,MATCH(I50,$C$49:$L$49,0)))</f>
        <v/>
      </c>
      <c r="J27" s="99" t="str">
        <f>IF(J50="","",INDEX($C$47:$L$47,MATCH(J50,$C$49:$L$49,0)))</f>
        <v/>
      </c>
      <c r="K27" s="99" t="str">
        <f>IF(K50="","",INDEX($C$47:$L$47,MATCH(K50,$C$49:$L$49,0)))</f>
        <v/>
      </c>
      <c r="L27" s="100" t="str">
        <f>IF(L50="","",INDEX($C$47:$L$47,MATCH(L50,$C$49:$L$49,0)))</f>
        <v/>
      </c>
    </row>
    <row r="28" ht="18" customHeight="1">
      <c r="A28" s="47" t="inlineStr">
        <is>
          <t>(H) Right (Transverse Location)</t>
        </is>
      </c>
      <c r="B28" s="48" t="n"/>
      <c r="C28" s="101" t="str">
        <f>IF(C50="","",INDEX($C$48:$L$48,MATCH(C50,$C$49:$L$49,0)))</f>
        <v/>
      </c>
      <c r="D28" s="101" t="str">
        <f>IF(D50="","",INDEX($C$48:$L$48,MATCH(D50,$C$49:$L$49,0)))</f>
        <v/>
      </c>
      <c r="E28" s="101" t="str">
        <f>IF(E50="","",INDEX($C$48:$L$48,MATCH(E50,$C$49:$L$49,0)))</f>
        <v/>
      </c>
      <c r="F28" s="101" t="str">
        <f>IF(F50="","",INDEX($C$48:$L$48,MATCH(F50,$C$49:$L$49,0)))</f>
        <v/>
      </c>
      <c r="G28" s="101" t="str">
        <f>IF(G50="","",INDEX($C$48:$L$48,MATCH(G50,$C$49:$L$49,0)))</f>
        <v/>
      </c>
      <c r="H28" s="101" t="str">
        <f>IF(H50="","",INDEX($C$48:$L$48,MATCH(H50,$C$49:$L$49,0)))</f>
        <v/>
      </c>
      <c r="I28" s="101" t="str">
        <f>IF(I50="","",INDEX($C$48:$L$48,MATCH(I50,$C$49:$L$49,0)))</f>
        <v/>
      </c>
      <c r="J28" s="101" t="str">
        <f>IF(J50="","",INDEX($C$48:$L$48,MATCH(J50,$C$49:$L$49,0)))</f>
        <v/>
      </c>
      <c r="K28" s="101" t="str">
        <f>IF(K50="","",INDEX($C$48:$L$48,MATCH(K50,$C$49:$L$49,0)))</f>
        <v/>
      </c>
      <c r="L28" s="102" t="str">
        <f>IF(L50="","",INDEX($C$48:$L$48,MATCH(L50,$C$49:$L$49,0)))</f>
        <v/>
      </c>
    </row>
    <row r="29" ht="18" customHeight="1">
      <c r="A29" s="92" t="inlineStr">
        <is>
          <t>TEST SITE LOCATIONS</t>
        </is>
      </c>
      <c r="B29" s="32" t="n"/>
      <c r="C29" s="103">
        <f>IF((COLUMN()-2)&gt;$C$45,"",(COLUMN()-2))</f>
        <v>1</v>
      </c>
      <c r="D29" s="103">
        <f>IF((COLUMN()-2)&gt;$C$45,"",(COLUMN()-2))</f>
        <v>2</v>
      </c>
      <c r="E29" s="103">
        <f>IF((COLUMN()-2)&gt;$C$45,"",(COLUMN()-2))</f>
        <v>3</v>
      </c>
      <c r="F29" s="103">
        <f>IF((COLUMN()-2)&gt;$C$45,"",(COLUMN()-2))</f>
        <v>4</v>
      </c>
      <c r="G29" s="103">
        <f>IF((COLUMN()-2)&gt;$C$45,"",(COLUMN()-2))</f>
        <v>5</v>
      </c>
      <c r="H29" s="103">
        <f>IF((COLUMN()-2)&gt;$C$45,"",(COLUMN()-2))</f>
        <v>6</v>
      </c>
      <c r="I29" s="103">
        <f>IF((COLUMN()-2)&gt;$C$45,"",(COLUMN()-2))</f>
        <v>7</v>
      </c>
      <c r="J29" s="103">
        <f>IF((COLUMN()-2)&gt;$C$45,"",(COLUMN()-2))</f>
        <v>8</v>
      </c>
      <c r="K29" s="103">
        <f>IF((COLUMN()-2)&gt;$C$45,"",(COLUMN()-2))</f>
        <v>9</v>
      </c>
      <c r="L29" s="104">
        <f>IF((COLUMN()-2)&gt;$C$45,"",(COLUMN()-2))</f>
        <v>10</v>
      </c>
    </row>
    <row r="30" ht="31" customHeight="1">
      <c r="A30" s="105" t="inlineStr">
        <is>
          <t>(I) Longitudinal Distance from Start
      D x G (Round up to Whole Number)</t>
        </is>
      </c>
      <c r="B30" s="57" t="n"/>
      <c r="C30" s="106" t="str">
        <f>IF(OR(C27="",NOT(ISNUMBER($I$16))),"",IF($I$16&lt;=0,"",ROUNDUP($I$16*C27,0)))</f>
        <v/>
      </c>
      <c r="D30" s="106" t="str">
        <f>IF(OR(D27="",NOT(ISNUMBER($I$16))),"",IF($I$16&lt;=0,"",ROUNDUP($I$16*D27,0)))</f>
        <v/>
      </c>
      <c r="E30" s="106" t="str">
        <f>IF(OR(E27="",NOT(ISNUMBER($I$16))),"",IF($I$16&lt;=0,"",ROUNDUP($I$16*E27,0)))</f>
        <v/>
      </c>
      <c r="F30" s="106" t="str">
        <f>IF(OR(F27="",NOT(ISNUMBER($I$16))),"",IF($I$16&lt;=0,"",ROUNDUP($I$16*F27,0)))</f>
        <v/>
      </c>
      <c r="G30" s="106" t="str">
        <f>IF(OR(G27="",NOT(ISNUMBER($I$16))),"",IF($I$16&lt;=0,"",ROUNDUP($I$16*G27,0)))</f>
        <v/>
      </c>
      <c r="H30" s="106" t="str">
        <f>IF(OR(H27="",NOT(ISNUMBER($I$16))),"",IF($I$16&lt;=0,"",ROUNDUP($I$16*H27,0)))</f>
        <v/>
      </c>
      <c r="I30" s="106" t="str">
        <f>IF(OR(I27="",NOT(ISNUMBER($I$16))),"",IF($I$16&lt;=0,"",ROUNDUP($I$16*I27,0)))</f>
        <v/>
      </c>
      <c r="J30" s="106" t="str">
        <f>IF(OR(J27="",NOT(ISNUMBER($I$16))),"",IF($I$16&lt;=0,"",ROUNDUP($I$16*J27,0)))</f>
        <v/>
      </c>
      <c r="K30" s="106" t="str">
        <f>IF(OR(K27="",NOT(ISNUMBER($I$16))),"",IF($I$16&lt;=0,"",ROUNDUP($I$16*K27,0)))</f>
        <v/>
      </c>
      <c r="L30" s="107" t="str">
        <f>IF(OR(L27="",NOT(ISNUMBER($I$16))),"",IF($I$16&lt;=0,"",ROUNDUP($I$16*L27,0)))</f>
        <v/>
      </c>
    </row>
    <row r="31" ht="18" customHeight="1">
      <c r="A31" s="42" t="inlineStr">
        <is>
          <t>(J) Station I + B</t>
        </is>
      </c>
      <c r="B31" s="57" t="n"/>
      <c r="C31" s="108" t="str">
        <f>IF(OR(C30="",NOT(ISNUMBER($C$46))),"",$C$46+C30)</f>
        <v/>
      </c>
      <c r="D31" s="108" t="str">
        <f>IF(OR(D30="",NOT(ISNUMBER($C$46))),"",$C$46+D30)</f>
        <v/>
      </c>
      <c r="E31" s="108" t="str">
        <f>IF(OR(E30="",NOT(ISNUMBER($C$46))),"",$C$46+E30)</f>
        <v/>
      </c>
      <c r="F31" s="108" t="str">
        <f>IF(OR(F30="",NOT(ISNUMBER($C$46))),"",$C$46+F30)</f>
        <v/>
      </c>
      <c r="G31" s="108" t="str">
        <f>IF(OR(G30="",NOT(ISNUMBER($C$46))),"",$C$46+G30)</f>
        <v/>
      </c>
      <c r="H31" s="108" t="str">
        <f>IF(OR(H30="",NOT(ISNUMBER($C$46))),"",$C$46+H30)</f>
        <v/>
      </c>
      <c r="I31" s="108" t="str">
        <f>IF(OR(I30="",NOT(ISNUMBER($C$46))),"",$C$46+I30)</f>
        <v/>
      </c>
      <c r="J31" s="108" t="str">
        <f>IF(OR(J30="",NOT(ISNUMBER($C$46))),"",$C$46+J30)</f>
        <v/>
      </c>
      <c r="K31" s="108" t="str">
        <f>IF(OR(K30="",NOT(ISNUMBER($C$46))),"",$C$46+K30)</f>
        <v/>
      </c>
      <c r="L31" s="109" t="str">
        <f>IF(OR(L30="",NOT(ISNUMBER($C$46))),"",$C$46+L30)</f>
        <v/>
      </c>
    </row>
    <row r="32" ht="31" customHeight="1">
      <c r="A32" s="105" t="inlineStr">
        <is>
          <t>(K) Transverse Distance from Edge
      E x H (Round up to Whole Number)</t>
        </is>
      </c>
      <c r="B32" s="57" t="n"/>
      <c r="C32" s="106" t="str">
        <f>IF(OR(C28="",NOT(ISNUMBER($I$17))),"",IF($I$17&lt;2,"",MIN(MAX(ROUNDUP($I$17*C28,0),1),$I$17-1)))</f>
        <v/>
      </c>
      <c r="D32" s="106" t="str">
        <f>IF(OR(D28="",NOT(ISNUMBER($I$17))),"",IF($I$17&lt;2,"",MIN(MAX(ROUNDUP($I$17*D28,0),1),$I$17-1)))</f>
        <v/>
      </c>
      <c r="E32" s="106" t="str">
        <f>IF(OR(E28="",NOT(ISNUMBER($I$17))),"",IF($I$17&lt;2,"",MIN(MAX(ROUNDUP($I$17*E28,0),1),$I$17-1)))</f>
        <v/>
      </c>
      <c r="F32" s="106" t="str">
        <f>IF(OR(F28="",NOT(ISNUMBER($I$17))),"",IF($I$17&lt;2,"",MIN(MAX(ROUNDUP($I$17*F28,0),1),$I$17-1)))</f>
        <v/>
      </c>
      <c r="G32" s="106" t="str">
        <f>IF(OR(G28="",NOT(ISNUMBER($I$17))),"",IF($I$17&lt;2,"",MIN(MAX(ROUNDUP($I$17*G28,0),1),$I$17-1)))</f>
        <v/>
      </c>
      <c r="H32" s="106" t="str">
        <f>IF(OR(H28="",NOT(ISNUMBER($I$17))),"",IF($I$17&lt;2,"",MIN(MAX(ROUNDUP($I$17*H28,0),1),$I$17-1)))</f>
        <v/>
      </c>
      <c r="I32" s="106" t="str">
        <f>IF(OR(I28="",NOT(ISNUMBER($I$17))),"",IF($I$17&lt;2,"",MIN(MAX(ROUNDUP($I$17*I28,0),1),$I$17-1)))</f>
        <v/>
      </c>
      <c r="J32" s="106" t="str">
        <f>IF(OR(J28="",NOT(ISNUMBER($I$17))),"",IF($I$17&lt;2,"",MIN(MAX(ROUNDUP($I$17*J28,0),1),$I$17-1)))</f>
        <v/>
      </c>
      <c r="K32" s="106" t="str">
        <f>IF(OR(K28="",NOT(ISNUMBER($I$17))),"",IF($I$17&lt;2,"",MIN(MAX(ROUNDUP($I$17*K28,0),1),$I$17-1)))</f>
        <v/>
      </c>
      <c r="L32" s="107" t="str">
        <f>IF(OR(L28="",NOT(ISNUMBER($I$17))),"",IF($I$17&lt;2,"",MIN(MAX(ROUNDUP($I$17*L28,0),1),$I$17-1)))</f>
        <v/>
      </c>
    </row>
    <row r="33" ht="17" customHeight="1">
      <c r="A33" s="110" t="inlineStr">
        <is>
          <t>(L) Nuclear Reading</t>
        </is>
      </c>
      <c r="B33" s="111" t="inlineStr">
        <is>
          <t>a</t>
        </is>
      </c>
      <c r="C33" s="135" t="n"/>
      <c r="D33" s="135" t="n"/>
      <c r="E33" s="135" t="n"/>
      <c r="F33" s="135" t="n"/>
      <c r="G33" s="135" t="n"/>
      <c r="H33" s="135" t="n"/>
      <c r="I33" s="135" t="n"/>
      <c r="J33" s="135" t="n"/>
      <c r="K33" s="135" t="n"/>
      <c r="L33" s="136" t="n"/>
    </row>
    <row r="34" ht="17" customHeight="1">
      <c r="A34" s="137" t="inlineStr">
        <is>
          <t xml:space="preserve">      (Field Count)</t>
        </is>
      </c>
      <c r="B34" s="111" t="inlineStr">
        <is>
          <t>b</t>
        </is>
      </c>
      <c r="C34" s="135" t="n"/>
      <c r="D34" s="135" t="n"/>
      <c r="E34" s="135" t="n"/>
      <c r="F34" s="135" t="n"/>
      <c r="G34" s="135" t="n"/>
      <c r="H34" s="135" t="n"/>
      <c r="I34" s="135" t="n"/>
      <c r="J34" s="135" t="n"/>
      <c r="K34" s="135" t="n"/>
      <c r="L34" s="136" t="n"/>
    </row>
    <row r="35" ht="17" customHeight="1">
      <c r="A35" s="110" t="inlineStr">
        <is>
          <t>(M) Count Ratio (L / A)</t>
        </is>
      </c>
      <c r="B35" s="111" t="inlineStr">
        <is>
          <t>a</t>
        </is>
      </c>
      <c r="C35" s="138" t="str">
        <f>IF(OR(NOT(ISNUMBER(C33)),NOT(ISNUMBER($B$16))),"",IF($B$16&lt;=0,"",ROUND(C33/$B$16,3)))</f>
        <v/>
      </c>
      <c r="D35" s="138" t="str">
        <f>IF(OR(NOT(ISNUMBER(D33)),NOT(ISNUMBER($B$16))),"",IF($B$16&lt;=0,"",ROUND(D33/$B$16,3)))</f>
        <v/>
      </c>
      <c r="E35" s="138" t="str">
        <f>IF(OR(NOT(ISNUMBER(E33)),NOT(ISNUMBER($B$16))),"",IF($B$16&lt;=0,"",ROUND(E33/$B$16,3)))</f>
        <v/>
      </c>
      <c r="F35" s="138" t="str">
        <f>IF(OR(NOT(ISNUMBER(F33)),NOT(ISNUMBER($B$16))),"",IF($B$16&lt;=0,"",ROUND(F33/$B$16,3)))</f>
        <v/>
      </c>
      <c r="G35" s="138" t="str">
        <f>IF(OR(NOT(ISNUMBER(G33)),NOT(ISNUMBER($B$16))),"",IF($B$16&lt;=0,"",ROUND(G33/$B$16,3)))</f>
        <v/>
      </c>
      <c r="H35" s="138" t="str">
        <f>IF(OR(NOT(ISNUMBER(H33)),NOT(ISNUMBER($B$16))),"",IF($B$16&lt;=0,"",ROUND(H33/$B$16,3)))</f>
        <v/>
      </c>
      <c r="I35" s="138" t="str">
        <f>IF(OR(NOT(ISNUMBER(I33)),NOT(ISNUMBER($B$16))),"",IF($B$16&lt;=0,"",ROUND(I33/$B$16,3)))</f>
        <v/>
      </c>
      <c r="J35" s="138" t="str">
        <f>IF(OR(NOT(ISNUMBER(J33)),NOT(ISNUMBER($B$16))),"",IF($B$16&lt;=0,"",ROUND(J33/$B$16,3)))</f>
        <v/>
      </c>
      <c r="K35" s="138" t="str">
        <f>IF(OR(NOT(ISNUMBER(K33)),NOT(ISNUMBER($B$16))),"",IF($B$16&lt;=0,"",ROUND(K33/$B$16,3)))</f>
        <v/>
      </c>
      <c r="L35" s="139" t="str">
        <f>IF(OR(NOT(ISNUMBER(L33)),NOT(ISNUMBER($B$16))),"",IF($B$16&lt;=0,"",ROUND(L33/$B$16,3)))</f>
        <v/>
      </c>
    </row>
    <row r="36" ht="17" customHeight="1">
      <c r="A36" s="140" t="n"/>
      <c r="B36" s="111" t="inlineStr">
        <is>
          <t>b</t>
        </is>
      </c>
      <c r="C36" s="138" t="str">
        <f>IF(OR(NOT(ISNUMBER(C34)),NOT(ISNUMBER($B$16))),"",IF($B$16&lt;=0,"",ROUND(C34/$B$16,3)))</f>
        <v/>
      </c>
      <c r="D36" s="138" t="str">
        <f>IF(OR(NOT(ISNUMBER(D34)),NOT(ISNUMBER($B$16))),"",IF($B$16&lt;=0,"",ROUND(D34/$B$16,3)))</f>
        <v/>
      </c>
      <c r="E36" s="138" t="str">
        <f>IF(OR(NOT(ISNUMBER(E34)),NOT(ISNUMBER($B$16))),"",IF($B$16&lt;=0,"",ROUND(E34/$B$16,3)))</f>
        <v/>
      </c>
      <c r="F36" s="138" t="str">
        <f>IF(OR(NOT(ISNUMBER(F34)),NOT(ISNUMBER($B$16))),"",IF($B$16&lt;=0,"",ROUND(F34/$B$16,3)))</f>
        <v/>
      </c>
      <c r="G36" s="138" t="str">
        <f>IF(OR(NOT(ISNUMBER(G34)),NOT(ISNUMBER($B$16))),"",IF($B$16&lt;=0,"",ROUND(G34/$B$16,3)))</f>
        <v/>
      </c>
      <c r="H36" s="138" t="str">
        <f>IF(OR(NOT(ISNUMBER(H34)),NOT(ISNUMBER($B$16))),"",IF($B$16&lt;=0,"",ROUND(H34/$B$16,3)))</f>
        <v/>
      </c>
      <c r="I36" s="138" t="str">
        <f>IF(OR(NOT(ISNUMBER(I34)),NOT(ISNUMBER($B$16))),"",IF($B$16&lt;=0,"",ROUND(I34/$B$16,3)))</f>
        <v/>
      </c>
      <c r="J36" s="138" t="str">
        <f>IF(OR(NOT(ISNUMBER(J34)),NOT(ISNUMBER($B$16))),"",IF($B$16&lt;=0,"",ROUND(J34/$B$16,3)))</f>
        <v/>
      </c>
      <c r="K36" s="138" t="str">
        <f>IF(OR(NOT(ISNUMBER(K34)),NOT(ISNUMBER($B$16))),"",IF($B$16&lt;=0,"",ROUND(K34/$B$16,3)))</f>
        <v/>
      </c>
      <c r="L36" s="139" t="str">
        <f>IF(OR(NOT(ISNUMBER(L34)),NOT(ISNUMBER($B$16))),"",IF($B$16&lt;=0,"",ROUND(L34/$B$16,3)))</f>
        <v/>
      </c>
    </row>
    <row r="37" ht="17" customHeight="1">
      <c r="A37" s="110" t="inlineStr">
        <is>
          <t>(N) Density (g/cc)</t>
        </is>
      </c>
      <c r="B37" s="111" t="inlineStr">
        <is>
          <t>a</t>
        </is>
      </c>
      <c r="C37" s="112" t="n"/>
      <c r="D37" s="112" t="n"/>
      <c r="E37" s="112" t="n"/>
      <c r="F37" s="112" t="n"/>
      <c r="G37" s="112" t="n"/>
      <c r="H37" s="112" t="n"/>
      <c r="I37" s="112" t="n"/>
      <c r="J37" s="112" t="n"/>
      <c r="K37" s="112" t="n"/>
      <c r="L37" s="113" t="n"/>
    </row>
    <row r="38" ht="17" customHeight="1">
      <c r="A38" s="141" t="inlineStr">
        <is>
          <t xml:space="preserve">      (round to nearest 0.01 g/cc)</t>
        </is>
      </c>
      <c r="B38" s="111" t="inlineStr">
        <is>
          <t>b</t>
        </is>
      </c>
      <c r="C38" s="112" t="n"/>
      <c r="D38" s="112" t="n"/>
      <c r="E38" s="112" t="n"/>
      <c r="F38" s="112" t="n"/>
      <c r="G38" s="112" t="n"/>
      <c r="H38" s="112" t="n"/>
      <c r="I38" s="112" t="n"/>
      <c r="J38" s="112" t="n"/>
      <c r="K38" s="112" t="n"/>
      <c r="L38" s="113" t="n"/>
    </row>
    <row r="39" ht="17" customHeight="1">
      <c r="A39" s="115" t="n"/>
      <c r="B39" s="116" t="inlineStr">
        <is>
          <t>Avg.</t>
        </is>
      </c>
      <c r="C39" s="117" t="str">
        <f>IF(C$29="","",IF(COUNT(C37:C38)&lt;2,"",IF(ROUND(ABS(C37-C38),2)&gt;0.05,"RETEST",ROUND(AVERAGE(C37:C38),2))))</f>
        <v/>
      </c>
      <c r="D39" s="117" t="str">
        <f>IF(D$29="","",IF(COUNT(D37:D38)&lt;2,"",IF(ROUND(ABS(D37-D38),2)&gt;0.05,"RETEST",ROUND(AVERAGE(D37:D38),2))))</f>
        <v/>
      </c>
      <c r="E39" s="117" t="str">
        <f>IF(E$29="","",IF(COUNT(E37:E38)&lt;2,"",IF(ROUND(ABS(E37-E38),2)&gt;0.05,"RETEST",ROUND(AVERAGE(E37:E38),2))))</f>
        <v/>
      </c>
      <c r="F39" s="117" t="str">
        <f>IF(F$29="","",IF(COUNT(F37:F38)&lt;2,"",IF(ROUND(ABS(F37-F38),2)&gt;0.05,"RETEST",ROUND(AVERAGE(F37:F38),2))))</f>
        <v/>
      </c>
      <c r="G39" s="117" t="str">
        <f>IF(G$29="","",IF(COUNT(G37:G38)&lt;2,"",IF(ROUND(ABS(G37-G38),2)&gt;0.05,"RETEST",ROUND(AVERAGE(G37:G38),2))))</f>
        <v/>
      </c>
      <c r="H39" s="117" t="str">
        <f>IF(H$29="","",IF(COUNT(H37:H38)&lt;2,"",IF(ROUND(ABS(H37-H38),2)&gt;0.05,"RETEST",ROUND(AVERAGE(H37:H38),2))))</f>
        <v/>
      </c>
      <c r="I39" s="117" t="str">
        <f>IF(I$29="","",IF(COUNT(I37:I38)&lt;2,"",IF(ROUND(ABS(I37-I38),2)&gt;0.05,"RETEST",ROUND(AVERAGE(I37:I38),2))))</f>
        <v/>
      </c>
      <c r="J39" s="117" t="str">
        <f>IF(J$29="","",IF(COUNT(J37:J38)&lt;2,"",IF(ROUND(ABS(J37-J38),2)&gt;0.05,"RETEST",ROUND(AVERAGE(J37:J38),2))))</f>
        <v/>
      </c>
      <c r="K39" s="117" t="str">
        <f>IF(K$29="","",IF(COUNT(K37:K38)&lt;2,"",IF(ROUND(ABS(K37-K38),2)&gt;0.05,"RETEST",ROUND(AVERAGE(K37:K38),2))))</f>
        <v/>
      </c>
      <c r="L39" s="118" t="str">
        <f>IF(L$29="","",IF(COUNT(L37:L38)&lt;2,"",IF(ROUND(ABS(L37-L38),2)&gt;0.05,"RETEST",ROUND(AVERAGE(L37:L38),2))))</f>
        <v/>
      </c>
    </row>
    <row r="40" ht="18" customHeight="1">
      <c r="A40" s="119" t="inlineStr">
        <is>
          <t>(O) Average In-Place Density (all sites), g/cc</t>
        </is>
      </c>
      <c r="B40" s="31" t="n"/>
      <c r="C40" s="34" t="n"/>
      <c r="D40" s="120" t="str">
        <f>IF(COUNT($C$39:$L$39)=0,"",IF(COUNT($C$39:$L$39)&lt;$C$45,COUNT($C$39:$L$39)&amp;" of "&amp;$C$45&amp;" sites",ROUND(AVERAGE($C$39:$L$39),2)))</f>
        <v/>
      </c>
      <c r="E40" s="32" t="n"/>
      <c r="F40" s="119" t="inlineStr">
        <is>
          <t>(R) FTMD (CT 308 “A” or Corrected “C”), g/cc</t>
        </is>
      </c>
      <c r="G40" s="31" t="n"/>
      <c r="H40" s="31" t="n"/>
      <c r="I40" s="31" t="n"/>
      <c r="J40" s="34" t="n"/>
      <c r="K40" s="142" t="n"/>
      <c r="L40" s="98" t="n"/>
    </row>
    <row r="41" ht="18" customHeight="1">
      <c r="A41" s="42" t="inlineStr">
        <is>
          <t>After Exclusions (test strips only)</t>
        </is>
      </c>
      <c r="B41" s="53" t="n"/>
      <c r="C41" s="43" t="n"/>
      <c r="D41" s="122" t="n"/>
      <c r="E41" s="38" t="n"/>
      <c r="F41" s="42" t="inlineStr">
        <is>
          <t>(S) Correlation Factor (Part 5, G) and Date</t>
        </is>
      </c>
      <c r="G41" s="53" t="n"/>
      <c r="H41" s="53" t="n"/>
      <c r="I41" s="53" t="n"/>
      <c r="J41" s="43" t="n"/>
      <c r="K41" s="143" t="n"/>
      <c r="L41" s="144" t="n"/>
    </row>
    <row r="42" ht="18" customHeight="1">
      <c r="A42" s="42" t="inlineStr">
        <is>
          <t>(P) Conversion Factor (gage to cores)</t>
        </is>
      </c>
      <c r="B42" s="53" t="n"/>
      <c r="C42" s="43" t="n"/>
      <c r="D42" s="122" t="n"/>
      <c r="E42" s="38" t="n"/>
      <c r="F42" s="42" t="inlineStr">
        <is>
          <t>(T) LTMD or Correlated FTMD (R x S), g/cc</t>
        </is>
      </c>
      <c r="G42" s="53" t="n"/>
      <c r="H42" s="53" t="n"/>
      <c r="I42" s="53" t="n"/>
      <c r="J42" s="43" t="n"/>
      <c r="K42" s="122" t="str">
        <f>IF(AND(ISNUMBER(K40),ISNUMBER(K41)),ROUND(K40*K41,2),"")</f>
        <v/>
      </c>
      <c r="L42" s="38" t="n"/>
    </row>
    <row r="43" ht="18" customHeight="1">
      <c r="A43" s="47" t="inlineStr">
        <is>
          <t>(Q) Corrected In-Place Density (O + P), g/cc</t>
        </is>
      </c>
      <c r="B43" s="60" t="n"/>
      <c r="C43" s="48" t="n"/>
      <c r="D43" s="126" t="str">
        <f>IF(AND(ISNUMBER(D40),ISNUMBER(D42)),ROUND(D40+D42,2),"")</f>
        <v/>
      </c>
      <c r="E43" s="61" t="n"/>
      <c r="F43" s="47" t="inlineStr">
        <is>
          <t>(U) Relative Compaction (Q / T), %</t>
        </is>
      </c>
      <c r="G43" s="60" t="n"/>
      <c r="H43" s="60" t="n"/>
      <c r="I43" s="60" t="n"/>
      <c r="J43" s="48" t="n"/>
      <c r="K43" s="127" t="str">
        <f>IF(AND(ISNUMBER(D43),ISNUMBER(K42)),IF(K42&gt;0,ROUND(D43/K42*100,1),""),"")</f>
        <v/>
      </c>
      <c r="L43" s="61" t="n"/>
    </row>
    <row r="44" hidden="1">
      <c r="A44" s="129" t="inlineStr">
        <is>
          <t>Helpers for the formulas above. Do not edit.</t>
        </is>
      </c>
    </row>
    <row r="45" hidden="1">
      <c r="A45" s="129" t="inlineStr">
        <is>
          <t>Sites / block in use</t>
        </is>
      </c>
      <c r="C45">
        <f>IF(ISNUMBER(F20),MIN(10,MAX(1,INT(F20))),10)</f>
        <v>10</v>
      </c>
      <c r="D45" t="str">
        <f>IF(I26="","",IF(ISNUMBER(I26),MOD(INT(I26),10),IFERROR(MOD(INT(VALUE(I26)),10),"")))</f>
        <v/>
      </c>
    </row>
    <row r="46" hidden="1">
      <c r="A46" s="129" t="inlineStr">
        <is>
          <t>Start / finish station</t>
        </is>
      </c>
      <c r="C46" t="str">
        <f>IF(ISNUMBER(I14),I14,IF(TRIM(I14)="","",IFERROR(VALUE(SUBSTITUTE(SUBSTITUTE(TRIM(I14),"+","")," ","")),"")))</f>
        <v/>
      </c>
      <c r="D46" t="str">
        <f>IF(ISNUMBER(I15),I15,IF(TRIM(I15)="","",IFERROR(VALUE(SUBSTITUTE(SUBSTITUTE(TRIM(I15),"+","")," ","")),"")))</f>
        <v/>
      </c>
    </row>
    <row r="47" hidden="1">
      <c r="A47" s="129" t="inlineStr">
        <is>
          <t>Pairs from the table: longit.</t>
        </is>
      </c>
      <c r="C47" t="str">
        <f>IF(OR($D$45="",(COLUMN()-2)&gt;$C$45),"",IF($G$26=1,IF($D$45&lt;5,INDEX('Table 1'!$B$5:$K$14,(COLUMN()-2),2*$D$45+1),INDEX('Table 1'!$B$17:$K$26,(COLUMN()-2),2*($D$45-5)+1)),IF($D$45&lt;5,INDEX('Table 2'!$B$5:$K$13,(COLUMN()-2),2*$D$45+1),INDEX('Table 2'!$B$16:$K$24,(COLUMN()-2),2*($D$45-5)+1))))</f>
        <v/>
      </c>
      <c r="D47" t="str">
        <f>IF(OR($D$45="",(COLUMN()-2)&gt;$C$45),"",IF($G$26=1,IF($D$45&lt;5,INDEX('Table 1'!$B$5:$K$14,(COLUMN()-2),2*$D$45+1),INDEX('Table 1'!$B$17:$K$26,(COLUMN()-2),2*($D$45-5)+1)),IF($D$45&lt;5,INDEX('Table 2'!$B$5:$K$13,(COLUMN()-2),2*$D$45+1),INDEX('Table 2'!$B$16:$K$24,(COLUMN()-2),2*($D$45-5)+1))))</f>
        <v/>
      </c>
      <c r="E47" t="str">
        <f>IF(OR($D$45="",(COLUMN()-2)&gt;$C$45),"",IF($G$26=1,IF($D$45&lt;5,INDEX('Table 1'!$B$5:$K$14,(COLUMN()-2),2*$D$45+1),INDEX('Table 1'!$B$17:$K$26,(COLUMN()-2),2*($D$45-5)+1)),IF($D$45&lt;5,INDEX('Table 2'!$B$5:$K$13,(COLUMN()-2),2*$D$45+1),INDEX('Table 2'!$B$16:$K$24,(COLUMN()-2),2*($D$45-5)+1))))</f>
        <v/>
      </c>
      <c r="F47" t="str">
        <f>IF(OR($D$45="",(COLUMN()-2)&gt;$C$45),"",IF($G$26=1,IF($D$45&lt;5,INDEX('Table 1'!$B$5:$K$14,(COLUMN()-2),2*$D$45+1),INDEX('Table 1'!$B$17:$K$26,(COLUMN()-2),2*($D$45-5)+1)),IF($D$45&lt;5,INDEX('Table 2'!$B$5:$K$13,(COLUMN()-2),2*$D$45+1),INDEX('Table 2'!$B$16:$K$24,(COLUMN()-2),2*($D$45-5)+1))))</f>
        <v/>
      </c>
      <c r="G47" t="str">
        <f>IF(OR($D$45="",(COLUMN()-2)&gt;$C$45),"",IF($G$26=1,IF($D$45&lt;5,INDEX('Table 1'!$B$5:$K$14,(COLUMN()-2),2*$D$45+1),INDEX('Table 1'!$B$17:$K$26,(COLUMN()-2),2*($D$45-5)+1)),IF($D$45&lt;5,INDEX('Table 2'!$B$5:$K$13,(COLUMN()-2),2*$D$45+1),INDEX('Table 2'!$B$16:$K$24,(COLUMN()-2),2*($D$45-5)+1))))</f>
        <v/>
      </c>
      <c r="H47" t="str">
        <f>IF(OR($D$45="",(COLUMN()-2)&gt;$C$45),"",IF($G$26=1,IF($D$45&lt;5,INDEX('Table 1'!$B$5:$K$14,(COLUMN()-2),2*$D$45+1),INDEX('Table 1'!$B$17:$K$26,(COLUMN()-2),2*($D$45-5)+1)),IF($D$45&lt;5,INDEX('Table 2'!$B$5:$K$13,(COLUMN()-2),2*$D$45+1),INDEX('Table 2'!$B$16:$K$24,(COLUMN()-2),2*($D$45-5)+1))))</f>
        <v/>
      </c>
      <c r="I47" t="str">
        <f>IF(OR($D$45="",(COLUMN()-2)&gt;$C$45),"",IF($G$26=1,IF($D$45&lt;5,INDEX('Table 1'!$B$5:$K$14,(COLUMN()-2),2*$D$45+1),INDEX('Table 1'!$B$17:$K$26,(COLUMN()-2),2*($D$45-5)+1)),IF($D$45&lt;5,INDEX('Table 2'!$B$5:$K$13,(COLUMN()-2),2*$D$45+1),INDEX('Table 2'!$B$16:$K$24,(COLUMN()-2),2*($D$45-5)+1))))</f>
        <v/>
      </c>
      <c r="J47" t="str">
        <f>IF(OR($D$45="",(COLUMN()-2)&gt;$C$45),"",IF($G$26=1,IF($D$45&lt;5,INDEX('Table 1'!$B$5:$K$14,(COLUMN()-2),2*$D$45+1),INDEX('Table 1'!$B$17:$K$26,(COLUMN()-2),2*($D$45-5)+1)),IF($D$45&lt;5,INDEX('Table 2'!$B$5:$K$13,(COLUMN()-2),2*$D$45+1),INDEX('Table 2'!$B$16:$K$24,(COLUMN()-2),2*($D$45-5)+1))))</f>
        <v/>
      </c>
      <c r="K47" t="str">
        <f>IF(OR($D$45="",(COLUMN()-2)&gt;$C$45),"",IF($G$26=1,IF($D$45&lt;5,INDEX('Table 1'!$B$5:$K$14,(COLUMN()-2),2*$D$45+1),INDEX('Table 1'!$B$17:$K$26,(COLUMN()-2),2*($D$45-5)+1)),IF($D$45&lt;5,INDEX('Table 2'!$B$5:$K$13,(COLUMN()-2),2*$D$45+1),INDEX('Table 2'!$B$16:$K$24,(COLUMN()-2),2*($D$45-5)+1))))</f>
        <v/>
      </c>
      <c r="L47" t="str">
        <f>IF(OR($D$45="",(COLUMN()-2)&gt;$C$45),"",IF($G$26=1,IF($D$45&lt;5,INDEX('Table 1'!$B$5:$K$14,(COLUMN()-2),2*$D$45+1),INDEX('Table 1'!$B$17:$K$26,(COLUMN()-2),2*($D$45-5)+1)),IF($D$45&lt;5,INDEX('Table 2'!$B$5:$K$13,(COLUMN()-2),2*$D$45+1),INDEX('Table 2'!$B$16:$K$24,(COLUMN()-2),2*($D$45-5)+1))))</f>
        <v/>
      </c>
    </row>
    <row r="48" hidden="1">
      <c r="A48" s="129" t="inlineStr">
        <is>
          <t>Pairs from the table: trans.</t>
        </is>
      </c>
      <c r="C48" t="str">
        <f>IF(OR($D$45="",(COLUMN()-2)&gt;$C$45),"",IF($G$26=1,IF($D$45&lt;5,INDEX('Table 1'!$B$5:$K$14,(COLUMN()-2),2*$D$45+2),INDEX('Table 1'!$B$17:$K$26,(COLUMN()-2),2*($D$45-5)+2)),IF($D$45&lt;5,INDEX('Table 2'!$B$5:$K$13,(COLUMN()-2),2*$D$45+2),INDEX('Table 2'!$B$16:$K$24,(COLUMN()-2),2*($D$45-5)+2))))</f>
        <v/>
      </c>
      <c r="D48" t="str">
        <f>IF(OR($D$45="",(COLUMN()-2)&gt;$C$45),"",IF($G$26=1,IF($D$45&lt;5,INDEX('Table 1'!$B$5:$K$14,(COLUMN()-2),2*$D$45+2),INDEX('Table 1'!$B$17:$K$26,(COLUMN()-2),2*($D$45-5)+2)),IF($D$45&lt;5,INDEX('Table 2'!$B$5:$K$13,(COLUMN()-2),2*$D$45+2),INDEX('Table 2'!$B$16:$K$24,(COLUMN()-2),2*($D$45-5)+2))))</f>
        <v/>
      </c>
      <c r="E48" t="str">
        <f>IF(OR($D$45="",(COLUMN()-2)&gt;$C$45),"",IF($G$26=1,IF($D$45&lt;5,INDEX('Table 1'!$B$5:$K$14,(COLUMN()-2),2*$D$45+2),INDEX('Table 1'!$B$17:$K$26,(COLUMN()-2),2*($D$45-5)+2)),IF($D$45&lt;5,INDEX('Table 2'!$B$5:$K$13,(COLUMN()-2),2*$D$45+2),INDEX('Table 2'!$B$16:$K$24,(COLUMN()-2),2*($D$45-5)+2))))</f>
        <v/>
      </c>
      <c r="F48" t="str">
        <f>IF(OR($D$45="",(COLUMN()-2)&gt;$C$45),"",IF($G$26=1,IF($D$45&lt;5,INDEX('Table 1'!$B$5:$K$14,(COLUMN()-2),2*$D$45+2),INDEX('Table 1'!$B$17:$K$26,(COLUMN()-2),2*($D$45-5)+2)),IF($D$45&lt;5,INDEX('Table 2'!$B$5:$K$13,(COLUMN()-2),2*$D$45+2),INDEX('Table 2'!$B$16:$K$24,(COLUMN()-2),2*($D$45-5)+2))))</f>
        <v/>
      </c>
      <c r="G48" t="str">
        <f>IF(OR($D$45="",(COLUMN()-2)&gt;$C$45),"",IF($G$26=1,IF($D$45&lt;5,INDEX('Table 1'!$B$5:$K$14,(COLUMN()-2),2*$D$45+2),INDEX('Table 1'!$B$17:$K$26,(COLUMN()-2),2*($D$45-5)+2)),IF($D$45&lt;5,INDEX('Table 2'!$B$5:$K$13,(COLUMN()-2),2*$D$45+2),INDEX('Table 2'!$B$16:$K$24,(COLUMN()-2),2*($D$45-5)+2))))</f>
        <v/>
      </c>
      <c r="H48" t="str">
        <f>IF(OR($D$45="",(COLUMN()-2)&gt;$C$45),"",IF($G$26=1,IF($D$45&lt;5,INDEX('Table 1'!$B$5:$K$14,(COLUMN()-2),2*$D$45+2),INDEX('Table 1'!$B$17:$K$26,(COLUMN()-2),2*($D$45-5)+2)),IF($D$45&lt;5,INDEX('Table 2'!$B$5:$K$13,(COLUMN()-2),2*$D$45+2),INDEX('Table 2'!$B$16:$K$24,(COLUMN()-2),2*($D$45-5)+2))))</f>
        <v/>
      </c>
      <c r="I48" t="str">
        <f>IF(OR($D$45="",(COLUMN()-2)&gt;$C$45),"",IF($G$26=1,IF($D$45&lt;5,INDEX('Table 1'!$B$5:$K$14,(COLUMN()-2),2*$D$45+2),INDEX('Table 1'!$B$17:$K$26,(COLUMN()-2),2*($D$45-5)+2)),IF($D$45&lt;5,INDEX('Table 2'!$B$5:$K$13,(COLUMN()-2),2*$D$45+2),INDEX('Table 2'!$B$16:$K$24,(COLUMN()-2),2*($D$45-5)+2))))</f>
        <v/>
      </c>
      <c r="J48" t="str">
        <f>IF(OR($D$45="",(COLUMN()-2)&gt;$C$45),"",IF($G$26=1,IF($D$45&lt;5,INDEX('Table 1'!$B$5:$K$14,(COLUMN()-2),2*$D$45+2),INDEX('Table 1'!$B$17:$K$26,(COLUMN()-2),2*($D$45-5)+2)),IF($D$45&lt;5,INDEX('Table 2'!$B$5:$K$13,(COLUMN()-2),2*$D$45+2),INDEX('Table 2'!$B$16:$K$24,(COLUMN()-2),2*($D$45-5)+2))))</f>
        <v/>
      </c>
      <c r="K48" t="str">
        <f>IF(OR($D$45="",(COLUMN()-2)&gt;$C$45),"",IF($G$26=1,IF($D$45&lt;5,INDEX('Table 1'!$B$5:$K$14,(COLUMN()-2),2*$D$45+2),INDEX('Table 1'!$B$17:$K$26,(COLUMN()-2),2*($D$45-5)+2)),IF($D$45&lt;5,INDEX('Table 2'!$B$5:$K$13,(COLUMN()-2),2*$D$45+2),INDEX('Table 2'!$B$16:$K$24,(COLUMN()-2),2*($D$45-5)+2))))</f>
        <v/>
      </c>
      <c r="L48" t="str">
        <f>IF(OR($D$45="",(COLUMN()-2)&gt;$C$45),"",IF($G$26=1,IF($D$45&lt;5,INDEX('Table 1'!$B$5:$K$14,(COLUMN()-2),2*$D$45+2),INDEX('Table 1'!$B$17:$K$26,(COLUMN()-2),2*($D$45-5)+2)),IF($D$45&lt;5,INDEX('Table 2'!$B$5:$K$13,(COLUMN()-2),2*$D$45+2),INDEX('Table 2'!$B$16:$K$24,(COLUMN()-2),2*($D$45-5)+2))))</f>
        <v/>
      </c>
    </row>
    <row r="49" hidden="1">
      <c r="A49" s="129" t="inlineStr">
        <is>
          <t>Sort key</t>
        </is>
      </c>
      <c r="C49" t="str">
        <f>IF(C47="","",C47+(COLUMN()-2)/1000000)</f>
        <v/>
      </c>
      <c r="D49" t="str">
        <f>IF(D47="","",D47+(COLUMN()-2)/1000000)</f>
        <v/>
      </c>
      <c r="E49" t="str">
        <f>IF(E47="","",E47+(COLUMN()-2)/1000000)</f>
        <v/>
      </c>
      <c r="F49" t="str">
        <f>IF(F47="","",F47+(COLUMN()-2)/1000000)</f>
        <v/>
      </c>
      <c r="G49" t="str">
        <f>IF(G47="","",G47+(COLUMN()-2)/1000000)</f>
        <v/>
      </c>
      <c r="H49" t="str">
        <f>IF(H47="","",H47+(COLUMN()-2)/1000000)</f>
        <v/>
      </c>
      <c r="I49" t="str">
        <f>IF(I47="","",I47+(COLUMN()-2)/1000000)</f>
        <v/>
      </c>
      <c r="J49" t="str">
        <f>IF(J47="","",J47+(COLUMN()-2)/1000000)</f>
        <v/>
      </c>
      <c r="K49" t="str">
        <f>IF(K47="","",K47+(COLUMN()-2)/1000000)</f>
        <v/>
      </c>
      <c r="L49" t="str">
        <f>IF(L47="","",L47+(COLUMN()-2)/1000000)</f>
        <v/>
      </c>
    </row>
    <row r="50" hidden="1">
      <c r="A50" s="129" t="inlineStr">
        <is>
          <t>Sorted key</t>
        </is>
      </c>
      <c r="C50" t="str">
        <f>IF((COLUMN()-2)&gt;COUNT($C$49:$L$49),"",SMALL($C$49:$L$49,(COLUMN()-2)))</f>
        <v/>
      </c>
      <c r="D50" t="str">
        <f>IF((COLUMN()-2)&gt;COUNT($C$49:$L$49),"",SMALL($C$49:$L$49,(COLUMN()-2)))</f>
        <v/>
      </c>
      <c r="E50" t="str">
        <f>IF((COLUMN()-2)&gt;COUNT($C$49:$L$49),"",SMALL($C$49:$L$49,(COLUMN()-2)))</f>
        <v/>
      </c>
      <c r="F50" t="str">
        <f>IF((COLUMN()-2)&gt;COUNT($C$49:$L$49),"",SMALL($C$49:$L$49,(COLUMN()-2)))</f>
        <v/>
      </c>
      <c r="G50" t="str">
        <f>IF((COLUMN()-2)&gt;COUNT($C$49:$L$49),"",SMALL($C$49:$L$49,(COLUMN()-2)))</f>
        <v/>
      </c>
      <c r="H50" t="str">
        <f>IF((COLUMN()-2)&gt;COUNT($C$49:$L$49),"",SMALL($C$49:$L$49,(COLUMN()-2)))</f>
        <v/>
      </c>
      <c r="I50" t="str">
        <f>IF((COLUMN()-2)&gt;COUNT($C$49:$L$49),"",SMALL($C$49:$L$49,(COLUMN()-2)))</f>
        <v/>
      </c>
      <c r="J50" t="str">
        <f>IF((COLUMN()-2)&gt;COUNT($C$49:$L$49),"",SMALL($C$49:$L$49,(COLUMN()-2)))</f>
        <v/>
      </c>
      <c r="K50" t="str">
        <f>IF((COLUMN()-2)&gt;COUNT($C$49:$L$49),"",SMALL($C$49:$L$49,(COLUMN()-2)))</f>
        <v/>
      </c>
      <c r="L50" t="str">
        <f>IF((COLUMN()-2)&gt;COUNT($C$49:$L$49),"",SMALL($C$49:$L$49,(COLUMN()-2)))</f>
        <v/>
      </c>
    </row>
  </sheetData>
  <sheetProtection selectLockedCells="1" selectUnlockedCells="0" sheet="1" objects="1" insertRows="1" insertHyperlinks="1" autoFilter="1" scenarios="1" formatColumns="0" deleteColumns="1" insertColumns="1" pivotTables="1" deleteRows="1" formatCells="1" formatRows="0" sort="1"/>
  <mergeCells count="78">
    <mergeCell ref="D20:E20"/>
    <mergeCell ref="I14:L14"/>
    <mergeCell ref="F13:L13"/>
    <mergeCell ref="F18:H18"/>
    <mergeCell ref="A11:E11"/>
    <mergeCell ref="F17:H17"/>
    <mergeCell ref="A21:L21"/>
    <mergeCell ref="A23:L23"/>
    <mergeCell ref="A27:B27"/>
    <mergeCell ref="A43:C43"/>
    <mergeCell ref="A3:H3"/>
    <mergeCell ref="H11:L11"/>
    <mergeCell ref="F14:H14"/>
    <mergeCell ref="I26:L26"/>
    <mergeCell ref="K42:L42"/>
    <mergeCell ref="I16:L16"/>
    <mergeCell ref="H12:L12"/>
    <mergeCell ref="I18:L18"/>
    <mergeCell ref="A28:B28"/>
    <mergeCell ref="F7:H7"/>
    <mergeCell ref="A30:B30"/>
    <mergeCell ref="I6:J6"/>
    <mergeCell ref="F10:G10"/>
    <mergeCell ref="A6:E6"/>
    <mergeCell ref="I7:J7"/>
    <mergeCell ref="A5:L5"/>
    <mergeCell ref="B16:E16"/>
    <mergeCell ref="I15:L15"/>
    <mergeCell ref="F41:J41"/>
    <mergeCell ref="A26:B26"/>
    <mergeCell ref="A12:E12"/>
    <mergeCell ref="K43:L43"/>
    <mergeCell ref="A2:H2"/>
    <mergeCell ref="A40:C40"/>
    <mergeCell ref="F9:G9"/>
    <mergeCell ref="A24:L24"/>
    <mergeCell ref="C26:E26"/>
    <mergeCell ref="K6:L6"/>
    <mergeCell ref="F15:H15"/>
    <mergeCell ref="B14:D14"/>
    <mergeCell ref="I17:L17"/>
    <mergeCell ref="A25:L25"/>
    <mergeCell ref="B15:E15"/>
    <mergeCell ref="F40:J40"/>
    <mergeCell ref="A42:C42"/>
    <mergeCell ref="A22:L22"/>
    <mergeCell ref="G20:I20"/>
    <mergeCell ref="K40:L40"/>
    <mergeCell ref="A18:E18"/>
    <mergeCell ref="F8:G8"/>
    <mergeCell ref="A32:B32"/>
    <mergeCell ref="B17:E17"/>
    <mergeCell ref="K7:L7"/>
    <mergeCell ref="F16:H16"/>
    <mergeCell ref="F6:H6"/>
    <mergeCell ref="B20:C20"/>
    <mergeCell ref="A13:E13"/>
    <mergeCell ref="H8:L8"/>
    <mergeCell ref="F11:G11"/>
    <mergeCell ref="A41:C41"/>
    <mergeCell ref="H10:L10"/>
    <mergeCell ref="D40:E40"/>
    <mergeCell ref="A1:H1"/>
    <mergeCell ref="H9:L9"/>
    <mergeCell ref="F12:G12"/>
    <mergeCell ref="A7:E7"/>
    <mergeCell ref="F42:J42"/>
    <mergeCell ref="D41:E41"/>
    <mergeCell ref="A19:L19"/>
    <mergeCell ref="D43:E43"/>
    <mergeCell ref="A8:E8"/>
    <mergeCell ref="A4:H4"/>
    <mergeCell ref="F43:J43"/>
    <mergeCell ref="A29:B29"/>
    <mergeCell ref="D42:E42"/>
    <mergeCell ref="A10:E10"/>
    <mergeCell ref="A31:B31"/>
    <mergeCell ref="A9:E9"/>
  </mergeCells>
  <conditionalFormatting sqref="E14">
    <cfRule type="containsText" priority="1" operator="containsText" dxfId="0" text="12 MO">
      <formula>NOT(ISERROR(SEARCH("12 MO",E14)))</formula>
    </cfRule>
  </conditionalFormatting>
  <conditionalFormatting sqref="I16">
    <cfRule type="containsText" priority="2" operator="containsText" dxfId="0" text="CHECK">
      <formula>NOT(ISERROR(SEARCH("CHECK",I16)))</formula>
    </cfRule>
  </conditionalFormatting>
  <conditionalFormatting sqref="F20">
    <cfRule type="containsText" priority="3" operator="containsText" dxfId="0" text="MAX">
      <formula>NOT(ISERROR(SEARCH("MAX",F20)))</formula>
    </cfRule>
  </conditionalFormatting>
  <conditionalFormatting sqref="L20">
    <cfRule type="cellIs" priority="4" operator="equal" dxfId="1">
      <formula>"PASS"</formula>
    </cfRule>
    <cfRule type="cellIs" priority="5" operator="equal" dxfId="0">
      <formula>"LOW"</formula>
    </cfRule>
    <cfRule type="cellIs" priority="6" operator="equal" dxfId="0">
      <formula>"HIGH"</formula>
    </cfRule>
  </conditionalFormatting>
  <conditionalFormatting sqref="C39:L39">
    <cfRule type="containsText" priority="7" operator="containsText" dxfId="0" text="RETEST">
      <formula>NOT(ISERROR(SEARCH("RETEST",C39)))</formula>
    </cfRule>
  </conditionalFormatting>
  <conditionalFormatting sqref="K43">
    <cfRule type="cellIs" priority="8" operator="greaterThanOrEqual" dxfId="1">
      <formula>$J$20</formula>
    </cfRule>
  </conditionalFormatting>
  <dataValidations count="22">
    <dataValidation sqref="A7:E7" showDropDown="0" showInputMessage="1" showErrorMessage="0" allowBlank="1" errorTitle="Project" error="Contract / EA, Co-Rte-PM and a description, one per line. Enter goes to the next line." promptTitle="Project" prompt="Contract / EA, Co-Rte-PM and a description, one per line. Enter goes to the next line." errorStyle="stop"/>
    <dataValidation sqref="K7:L7" showDropDown="0" showInputMessage="1" showErrorMessage="1" allowBlank="1" errorTitle="Date" error="Enter a date, e.g. 6/11/2026." promptTitle="Date" prompt="Test date, e.g. 6/11/2026." type="date" errorStyle="stop" operator="between">
      <formula1>DATE(1990,1,1)</formula1>
      <formula2>DATE(2100,12,31)</formula2>
    </dataValidation>
    <dataValidation sqref="H12:L12" showDropDown="0" showInputMessage="1" showErrorMessage="1" allowBlank="1" errorTitle="Lift Thickness, ft" error="Enter the thickness in feet, e.g. 0.18." promptTitle="Lift Thickness, ft" prompt="Compacted thickness in feet, e.g. 0.18. CT 375 applies to lifts of 0.10 ft or more." type="decimal" errorStyle="warning" operator="between">
      <formula1>0.05</formula1>
      <formula2>1</formula2>
    </dataValidation>
    <dataValidation sqref="B14:D14" showDropDown="0" showInputMessage="1" showErrorMessage="1" allowBlank="1" errorTitle="Date of Last Calibration" error="Enter a date, e.g. 12/5/2025." promptTitle="Date of Last Calibration" prompt="Must be within 12 months of the test date (CT 375 1B); shows &gt; 12 MO if not." type="date" errorStyle="stop" operator="between">
      <formula1>DATE(1990,1,1)</formula1>
      <formula2>DATE(2100,12,31)</formula2>
    </dataValidation>
    <dataValidation sqref="B16:E16" showDropDown="0" showInputMessage="1" showErrorMessage="1" allowBlank="1" errorTitle="(A) Standard Count" error="Enter the standard count as a whole number." promptTitle="(A) Standard Count" prompt="Today's 4-minute count on the reference block. Its last digit picks the random-number block." type="whole" errorStyle="stop" operator="between">
      <formula1>1</formula1>
      <formula2>999999</formula2>
    </dataValidation>
    <dataValidation sqref="I14:L14" showDropDown="0" showInputMessage="1" showErrorMessage="0" allowBlank="1" errorTitle="(B) Start Station" error="Type the station either way: 69859 or 698+59." promptTitle="(B) Start Station" prompt="Type the station either way: 69859 or 698+59." errorStyle="stop"/>
    <dataValidation sqref="I15:L15" showDropDown="0" showInputMessage="1" showErrorMessage="0" allowBlank="1" errorTitle="(C) Finish Station" error="Type the station either way: 69859 or 698+59." promptTitle="(C) Finish Station" prompt="Type the station either way: 69859 or 698+59." errorStyle="stop"/>
    <dataValidation sqref="I17:L17" showDropDown="0" showInputMessage="1" showErrorMessage="1" allowBlank="1" errorTitle="(E) Lane Width, ft" error="Enter the lane width in feet, e.g. 12." promptTitle="(E) Lane Width, ft" prompt="Width of the lane being tested, in feet." type="decimal" errorStyle="stop" operator="between">
      <formula1>2</formula1>
      <formula2>200</formula2>
    </dataValidation>
    <dataValidation sqref="I18:L18" showDropDown="0" showInputMessage="1" showErrorMessage="1" allowBlank="1" errorTitle="(F) TMD" error="Enter a density, e.g. 2.44." promptTitle="(F) TMD" prompt="Test maximum density for the test area, g/cc." type="decimal" errorStyle="stop" operator="between">
      <formula1>1</formula1>
      <formula2>3.5</formula2>
    </dataValidation>
    <dataValidation sqref="B20:C20" showDropDown="0" showInputMessage="1" showErrorMessage="1" allowBlank="1" errorTitle="Tons in the test area" error="Enter the tonnage as a number." promptTitle="Tons in the test area" prompt="Sets the number of test sites (CT 375 3A): 1 per 50 t or portion, at least 5, 10 for 451-500 t." type="decimal" errorStyle="stop" operator="between">
      <formula1>0.01</formula1>
      <formula2>1000000</formula2>
    </dataValidation>
    <dataValidation sqref="F20" showDropDown="0" showInputMessage="1" showErrorMessage="1" allowBlank="1" errorTitle="Test sites" error="Enter a whole number from 1 to 10." promptTitle="Test sites" prompt="From the tonnage (CT 375 3A). Type 1-10 to set it yourself." type="whole" errorStyle="stop" operator="between">
      <formula1>1</formula1>
      <formula2>10</formula2>
    </dataValidation>
    <dataValidation sqref="A21:L25" showDropDown="0" showInputMessage="1" showErrorMessage="0" allowBlank="1" errorTitle="Field Notes" error="One line per row: press Enter for the next line." promptTitle="Field Notes" prompt="One line per row: press Enter for the next line." errorStyle="stop"/>
    <dataValidation sqref="J20" showDropDown="0" showInputMessage="1" showErrorMessage="1" allowBlank="1" errorTitle="Spec. min. relative compaction" error="Enter a percentage, e.g. 95.0." promptTitle="Spec. min. relative compaction" prompt="The minimum relative compaction your contract requires, e.g. 95.0." type="decimal" errorStyle="stop" operator="between">
      <formula1>50</formula1>
      <formula2>100</formula2>
    </dataValidation>
    <dataValidation sqref="I26:L26" showDropDown="0" showInputMessage="1" showErrorMessage="1" allowBlank="1" errorTitle="Block #" error="The block is a single digit, 0 to 9." promptTitle="Block #" prompt="The last digit of the Standard Count (A). To use a different block, type 0-9." type="whole" errorStyle="stop" operator="between">
      <formula1>0</formula1>
      <formula2>9</formula2>
    </dataValidation>
    <dataValidation sqref="C37:L38" showDropDown="0" showInputMessage="1" showErrorMessage="1" allowBlank="1" errorTitle="Density, g/cc" error="Enter a density in g/cc, e.g. 2.36. (pcf / 62.43 = g/cc)" promptTitle="Density, g/cc" prompt="In g/cc to 0.01. a = first reading; b = after turning the gauge 180 degrees." type="decimal" errorStyle="stop" operator="between">
      <formula1>1</formula1>
      <formula2>3.5</formula2>
    </dataValidation>
    <dataValidation sqref="C33:L34" showDropDown="0" showInputMessage="1" showErrorMessage="1" allowBlank="1" errorTitle="(L) Nuclear Reading" error="Enter the count as a whole number." promptTitle="(L) Nuclear Reading" prompt="1-minute count in backscatter. a = first reading; b = after turning the gage 180 degrees." type="whole" errorStyle="stop" operator="between">
      <formula1>1</formula1>
      <formula2>999999</formula2>
    </dataValidation>
    <dataValidation sqref="D41:E41" showDropDown="0" showInputMessage="1" showErrorMessage="0" allowBlank="1" errorTitle="After Exclusions" error="Test strips only. Leave blank, or N/A, otherwise." promptTitle="After Exclusions" prompt="Test strips only. Leave blank, or N/A, otherwise." errorStyle="stop"/>
    <dataValidation sqref="D42:E42" showDropDown="0" showInputMessage="1" showErrorMessage="1" allowBlank="1" errorTitle="(P) Conversion Factor" error="Enter the conversion factor, e.g. 0.01." promptTitle="(P) Conversion Factor" prompt="From the test strip (CT 375 Part 2), in g/cc. Enter 0 if none applies." type="decimal" errorStyle="stop" operator="between">
      <formula1>-0.5</formula1>
      <formula2>0.5</formula2>
    </dataValidation>
    <dataValidation sqref="K40:L40" showDropDown="0" showInputMessage="1" showErrorMessage="1" allowBlank="1" errorTitle="(R) FTMD, g/cc" error="Enter a density, e.g. 2.43." promptTitle="(R) FTMD, g/cc" prompt="Field test maximum density, to 0.01 g/cc." type="decimal" errorStyle="stop" operator="between">
      <formula1>1</formula1>
      <formula2>3.5</formula2>
    </dataValidation>
    <dataValidation sqref="K41" showDropDown="0" showInputMessage="1" showErrorMessage="1" allowBlank="1" errorTitle="(S) Correlation Factor" error="Enter the factor, e.g. 1.016." promptTitle="(S) Correlation Factor" prompt="Average LTMD / average FTMD (CT 375 5G), e.g. 1.016. Its date goes in the next cell." type="decimal" errorStyle="stop" operator="between">
      <formula1>0.8</formula1>
      <formula2>1.2</formula2>
    </dataValidation>
    <dataValidation sqref="L41" showDropDown="0" showInputMessage="1" showErrorMessage="1" allowBlank="1" errorTitle="(S) Date" error="Enter a date." promptTitle="(S) Date" prompt="Date the correlation factor was set." type="date" errorStyle="stop" operator="between">
      <formula1>DATE(1990,1,1)</formula1>
      <formula2>DATE(2100,12,31)</formula2>
    </dataValidation>
    <dataValidation sqref="K42:L42" showDropDown="0" showInputMessage="1" showErrorMessage="1" allowBlank="1" errorTitle="(T) LTMD or Correlated FTMD" error="Enter a density, e.g. 2.47." promptTitle="(T) LTMD or Correlated FTMD" prompt="Calculated as R x S. Using a lab LTMD instead? Type it here." type="decimal" errorStyle="stop" operator="between">
      <formula1>1</formula1>
      <formula2>3.5</formula2>
    </dataValidation>
  </dataValidations>
  <printOptions horizontalCentered="1"/>
  <pageMargins left="0.4" right="0.4" top="0.4" bottom="0.4" header="0.2" footer="0.2"/>
  <pageSetup orientation="portrait" paperSize="1" fitToHeight="1" fitToWidth="1"/>
  <ignoredErrors>
    <ignoredError sqref="A1:L80" unlockedFormula="1" formula="1" formulaRange="1" numberStoredAsText="1" emptyCellReference="1" evalError="1"/>
  </ignoredErrors>
</worksheet>
</file>

<file path=xl/worksheets/sheet5.xml><?xml version="1.0" encoding="utf-8"?>
<worksheet xmlns="http://schemas.openxmlformats.org/spreadsheetml/2006/main">
  <sheetPr>
    <tabColor rgb="00C9CDD3"/>
    <outlinePr summaryBelow="1" summaryRight="1"/>
    <pageSetUpPr fitToPage="1"/>
  </sheetPr>
  <dimension ref="A1:L50"/>
  <sheetViews>
    <sheetView showGridLines="0" workbookViewId="0">
      <selection activeCell="A7" sqref="A7"/>
    </sheetView>
  </sheetViews>
  <sheetFormatPr baseColWidth="8" defaultRowHeight="15"/>
  <cols>
    <col width="27.5" customWidth="1" min="1" max="1"/>
    <col width="5.5"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s>
  <sheetData>
    <row r="1" ht="13" customHeight="1">
      <c r="A1" s="26" t="inlineStr">
        <is>
          <t>State of California • Department of Transportation</t>
        </is>
      </c>
      <c r="B1" s="3" t="n"/>
      <c r="C1" s="3" t="n"/>
      <c r="D1" s="3" t="n"/>
      <c r="E1" s="3" t="n"/>
      <c r="F1" s="3" t="n"/>
      <c r="G1" s="3" t="n"/>
      <c r="H1" s="4" t="n"/>
      <c r="I1" s="130" t="inlineStr">
        <is>
          <t>EXAMPLE · CT 375 page 15</t>
        </is>
      </c>
      <c r="J1" s="3" t="n"/>
      <c r="K1" s="3" t="n"/>
      <c r="L1" s="4" t="n"/>
    </row>
    <row r="2" ht="13" customHeight="1">
      <c r="A2" s="26" t="inlineStr">
        <is>
          <t>Division of Engineering Services</t>
        </is>
      </c>
      <c r="B2" s="3" t="n"/>
      <c r="C2" s="3" t="n"/>
      <c r="D2" s="3" t="n"/>
      <c r="E2" s="3" t="n"/>
      <c r="F2" s="3" t="n"/>
      <c r="G2" s="3" t="n"/>
      <c r="H2" s="4" t="n"/>
    </row>
    <row r="3" ht="13" customHeight="1">
      <c r="A3" s="26" t="inlineStr">
        <is>
          <t>Materials Engineering and Testing Services</t>
        </is>
      </c>
      <c r="B3" s="3" t="n"/>
      <c r="C3" s="3" t="n"/>
      <c r="D3" s="3" t="n"/>
      <c r="E3" s="3" t="n"/>
      <c r="F3" s="3" t="n"/>
      <c r="G3" s="3" t="n"/>
      <c r="H3" s="4" t="n"/>
    </row>
    <row r="4" ht="15" customHeight="1">
      <c r="A4" s="131" t="inlineStr">
        <is>
          <t>Form TL-3112 (Rev. 02/04)</t>
        </is>
      </c>
      <c r="B4" s="132" t="n"/>
      <c r="C4" s="132" t="n"/>
      <c r="D4" s="132" t="n"/>
      <c r="E4" s="132" t="n"/>
      <c r="F4" s="132" t="n"/>
      <c r="G4" s="132" t="n"/>
      <c r="H4" s="132" t="n"/>
      <c r="I4" s="132" t="n"/>
      <c r="J4" s="132" t="n"/>
      <c r="K4" s="132" t="n"/>
      <c r="L4" s="132" t="n"/>
    </row>
    <row r="5" ht="26" customHeight="1">
      <c r="A5" s="133" t="inlineStr">
        <is>
          <t>DENSITY AND RELATIVE COMPACTION OF IN-SITU ASPHALT CONCRETE</t>
        </is>
      </c>
      <c r="B5" s="3" t="n"/>
      <c r="C5" s="3" t="n"/>
      <c r="D5" s="3" t="n"/>
      <c r="E5" s="3" t="n"/>
      <c r="F5" s="3" t="n"/>
      <c r="G5" s="3" t="n"/>
      <c r="H5" s="3" t="n"/>
      <c r="I5" s="3" t="n"/>
      <c r="J5" s="3" t="n"/>
      <c r="K5" s="3" t="n"/>
      <c r="L5" s="4" t="n"/>
    </row>
    <row r="6" ht="15" customHeight="1">
      <c r="A6" s="30" t="inlineStr">
        <is>
          <t>PROJECT</t>
        </is>
      </c>
      <c r="B6" s="31" t="n"/>
      <c r="C6" s="31" t="n"/>
      <c r="D6" s="31" t="n"/>
      <c r="E6" s="32" t="n"/>
      <c r="F6" s="33" t="inlineStr">
        <is>
          <t>Tested By</t>
        </is>
      </c>
      <c r="G6" s="31" t="n"/>
      <c r="H6" s="34" t="n"/>
      <c r="I6" s="35" t="inlineStr">
        <is>
          <t>Lot Number</t>
        </is>
      </c>
      <c r="J6" s="34" t="n"/>
      <c r="K6" s="35" t="inlineStr">
        <is>
          <t>Date</t>
        </is>
      </c>
      <c r="L6" s="32" t="n"/>
    </row>
    <row r="7" ht="18" customHeight="1">
      <c r="A7" s="36" t="inlineStr">
        <is>
          <t>25-4567U8</t>
        </is>
      </c>
      <c r="B7" s="37" t="n"/>
      <c r="C7" s="37" t="n"/>
      <c r="D7" s="37" t="n"/>
      <c r="E7" s="38" t="n"/>
      <c r="F7" s="36" t="inlineStr">
        <is>
          <t>Harry Roberts</t>
        </is>
      </c>
      <c r="G7" s="37" t="n"/>
      <c r="H7" s="39" t="n"/>
      <c r="I7" s="40" t="inlineStr">
        <is>
          <t>1- Sublot 10</t>
        </is>
      </c>
      <c r="J7" s="39" t="n"/>
      <c r="K7" s="41" t="n">
        <v>37783</v>
      </c>
      <c r="L7" s="38" t="n"/>
    </row>
    <row r="8" ht="18" customHeight="1">
      <c r="A8" s="36" t="inlineStr">
        <is>
          <t>25-XYZ-555-61.7/87.3</t>
        </is>
      </c>
      <c r="B8" s="37" t="n"/>
      <c r="C8" s="37" t="n"/>
      <c r="D8" s="37" t="n"/>
      <c r="E8" s="38" t="n"/>
      <c r="F8" s="42" t="inlineStr">
        <is>
          <t>Aggregate Source</t>
        </is>
      </c>
      <c r="G8" s="43" t="n"/>
      <c r="H8" s="40" t="inlineStr">
        <is>
          <t>ACME Materials, Bristoville</t>
        </is>
      </c>
      <c r="I8" s="37" t="n"/>
      <c r="J8" s="37" t="n"/>
      <c r="K8" s="37" t="n"/>
      <c r="L8" s="38" t="n"/>
    </row>
    <row r="9" ht="18" customHeight="1">
      <c r="A9" s="36" t="inlineStr">
        <is>
          <t>Lyon County in Bristoville from Blue Streak</t>
        </is>
      </c>
      <c r="B9" s="37" t="n"/>
      <c r="C9" s="37" t="n"/>
      <c r="D9" s="37" t="n"/>
      <c r="E9" s="38" t="n"/>
      <c r="F9" s="42" t="inlineStr">
        <is>
          <t>AC Mix Number</t>
        </is>
      </c>
      <c r="G9" s="43" t="n"/>
      <c r="H9" s="40" t="inlineStr">
        <is>
          <t>QC-123456-AB</t>
        </is>
      </c>
      <c r="I9" s="37" t="n"/>
      <c r="J9" s="37" t="n"/>
      <c r="K9" s="37" t="n"/>
      <c r="L9" s="38" t="n"/>
    </row>
    <row r="10" ht="18" customHeight="1">
      <c r="A10" s="36" t="inlineStr">
        <is>
          <t>Road to Glenn River</t>
        </is>
      </c>
      <c r="B10" s="37" t="n"/>
      <c r="C10" s="37" t="n"/>
      <c r="D10" s="37" t="n"/>
      <c r="E10" s="38" t="n"/>
      <c r="F10" s="42" t="inlineStr">
        <is>
          <t>Lane Number</t>
        </is>
      </c>
      <c r="G10" s="43" t="n"/>
      <c r="H10" s="40" t="inlineStr">
        <is>
          <t>2-A Line</t>
        </is>
      </c>
      <c r="I10" s="37" t="n"/>
      <c r="J10" s="37" t="n"/>
      <c r="K10" s="37" t="n"/>
      <c r="L10" s="38" t="n"/>
    </row>
    <row r="11" ht="18" customHeight="1">
      <c r="A11" s="36" t="n"/>
      <c r="B11" s="37" t="n"/>
      <c r="C11" s="37" t="n"/>
      <c r="D11" s="37" t="n"/>
      <c r="E11" s="38" t="n"/>
      <c r="F11" s="42" t="inlineStr">
        <is>
          <t>Lift Number</t>
        </is>
      </c>
      <c r="G11" s="43" t="n"/>
      <c r="H11" s="40" t="n">
        <v>3</v>
      </c>
      <c r="I11" s="37" t="n"/>
      <c r="J11" s="37" t="n"/>
      <c r="K11" s="37" t="n"/>
      <c r="L11" s="38" t="n"/>
    </row>
    <row r="12" ht="18" customHeight="1">
      <c r="A12" s="44" t="n"/>
      <c r="B12" s="45" t="n"/>
      <c r="C12" s="45" t="n"/>
      <c r="D12" s="45" t="n"/>
      <c r="E12" s="46" t="n"/>
      <c r="F12" s="47" t="inlineStr">
        <is>
          <t>Lift Thickness, ft</t>
        </is>
      </c>
      <c r="G12" s="48" t="n"/>
      <c r="H12" s="49" t="n">
        <v>0.18</v>
      </c>
      <c r="I12" s="45" t="n"/>
      <c r="J12" s="45" t="n"/>
      <c r="K12" s="45" t="n"/>
      <c r="L12" s="46" t="n"/>
    </row>
    <row r="13" ht="16" customHeight="1">
      <c r="A13" s="30" t="inlineStr">
        <is>
          <t>NUCLEAR GAGE</t>
        </is>
      </c>
      <c r="B13" s="31" t="n"/>
      <c r="C13" s="31" t="n"/>
      <c r="D13" s="31" t="n"/>
      <c r="E13" s="32" t="n"/>
      <c r="F13" s="30" t="inlineStr">
        <is>
          <t>TEST AREA LIMITS</t>
        </is>
      </c>
      <c r="G13" s="31" t="n"/>
      <c r="H13" s="31" t="n"/>
      <c r="I13" s="31" t="n"/>
      <c r="J13" s="31" t="n"/>
      <c r="K13" s="31" t="n"/>
      <c r="L13" s="32" t="n"/>
    </row>
    <row r="14" ht="18" customHeight="1">
      <c r="A14" s="50" t="inlineStr">
        <is>
          <t>Date of Last Calibration</t>
        </is>
      </c>
      <c r="B14" s="51" t="n">
        <v>37595</v>
      </c>
      <c r="C14" s="37" t="n"/>
      <c r="D14" s="39" t="n"/>
      <c r="E14" s="52" t="str">
        <f>IF(AND(ISNUMBER(B14),ISNUMBER(K7)),IF(K7&gt;EDATE(B14,12),"&gt; 12 MO",""),"")</f>
        <v/>
      </c>
      <c r="F14" s="42" t="inlineStr">
        <is>
          <t>(B) Start Station</t>
        </is>
      </c>
      <c r="G14" s="53" t="n"/>
      <c r="H14" s="43" t="n"/>
      <c r="I14" s="54" t="n">
        <v>69859</v>
      </c>
      <c r="J14" s="37" t="n"/>
      <c r="K14" s="37" t="n"/>
      <c r="L14" s="38" t="n"/>
    </row>
    <row r="15" ht="18" customHeight="1">
      <c r="A15" s="50" t="inlineStr">
        <is>
          <t>Model &amp; I.D.</t>
        </is>
      </c>
      <c r="B15" s="40" t="inlineStr">
        <is>
          <t>Trox-3440-55555</t>
        </is>
      </c>
      <c r="C15" s="37" t="n"/>
      <c r="D15" s="37" t="n"/>
      <c r="E15" s="38" t="n"/>
      <c r="F15" s="42" t="inlineStr">
        <is>
          <t>(C) Finish Station</t>
        </is>
      </c>
      <c r="G15" s="53" t="n"/>
      <c r="H15" s="43" t="n"/>
      <c r="I15" s="54" t="n">
        <v>70877</v>
      </c>
      <c r="J15" s="37" t="n"/>
      <c r="K15" s="37" t="n"/>
      <c r="L15" s="38" t="n"/>
    </row>
    <row r="16" ht="18" customHeight="1">
      <c r="A16" s="50" t="inlineStr">
        <is>
          <t>(A) Standard Count</t>
        </is>
      </c>
      <c r="B16" s="55" t="n">
        <v>2662</v>
      </c>
      <c r="C16" s="37" t="n"/>
      <c r="D16" s="37" t="n"/>
      <c r="E16" s="38" t="n"/>
      <c r="F16" s="42" t="inlineStr">
        <is>
          <t>(D) Length (C - B), ft</t>
        </is>
      </c>
      <c r="G16" s="53" t="n"/>
      <c r="H16" s="43" t="n"/>
      <c r="I16" s="56">
        <f>IF(AND(ISNUMBER($C$46),ISNUMBER($D$46)),IF($D$46-$C$46&gt;0,$D$46-$C$46,"CHECK B &amp; C"),IF(AND(TRIM(I14)&lt;&gt;"",TRIM(I15)&lt;&gt;""),"CHECK B &amp; C",""))</f>
        <v>1018</v>
      </c>
      <c r="J16" s="53" t="n"/>
      <c r="K16" s="53" t="n"/>
      <c r="L16" s="57" t="n"/>
    </row>
    <row r="17" ht="18" customHeight="1">
      <c r="A17" s="50" t="inlineStr">
        <is>
          <t>Set/Entered Depth Used*</t>
        </is>
      </c>
      <c r="B17" s="40" t="inlineStr">
        <is>
          <t>BS</t>
        </is>
      </c>
      <c r="C17" s="37" t="n"/>
      <c r="D17" s="37" t="n"/>
      <c r="E17" s="38" t="n"/>
      <c r="F17" s="42" t="inlineStr">
        <is>
          <t>(E) Lane Width, ft</t>
        </is>
      </c>
      <c r="G17" s="53" t="n"/>
      <c r="H17" s="43" t="n"/>
      <c r="I17" s="58" t="n">
        <v>12</v>
      </c>
      <c r="J17" s="37" t="n"/>
      <c r="K17" s="37" t="n"/>
      <c r="L17" s="38" t="n"/>
    </row>
    <row r="18" ht="18" customHeight="1">
      <c r="A18" s="59" t="inlineStr">
        <is>
          <t>* Must match value used during correlation.</t>
        </is>
      </c>
      <c r="B18" s="60" t="n"/>
      <c r="C18" s="60" t="n"/>
      <c r="D18" s="60" t="n"/>
      <c r="E18" s="61" t="n"/>
      <c r="F18" s="47" t="inlineStr">
        <is>
          <t>(F) TMD (test area calc), g/cc</t>
        </is>
      </c>
      <c r="G18" s="60" t="n"/>
      <c r="H18" s="48" t="n"/>
      <c r="I18" s="134" t="n">
        <v>2.44</v>
      </c>
      <c r="J18" s="45" t="n"/>
      <c r="K18" s="45" t="n"/>
      <c r="L18" s="46" t="n"/>
    </row>
    <row r="19" ht="27" customHeight="1">
      <c r="A19" s="71" t="inlineStr">
        <is>
          <t>FIELD NOTES AND CALCULATIONS
(Use back if more room is needed)</t>
        </is>
      </c>
      <c r="B19" s="72" t="n"/>
      <c r="C19" s="72" t="n"/>
      <c r="D19" s="72" t="n"/>
      <c r="E19" s="72" t="n"/>
      <c r="F19" s="72" t="n"/>
      <c r="G19" s="72" t="n"/>
      <c r="H19" s="72" t="n"/>
      <c r="I19" s="72" t="n"/>
      <c r="J19" s="72" t="n"/>
      <c r="K19" s="72" t="n"/>
      <c r="L19" s="73" t="n"/>
    </row>
    <row r="20" ht="19" customHeight="1">
      <c r="A20" s="74" t="inlineStr">
        <is>
          <t>AC tonnage in test area</t>
        </is>
      </c>
      <c r="B20" s="75" t="n">
        <v>470</v>
      </c>
      <c r="C20" s="76" t="n"/>
      <c r="D20" s="77" t="inlineStr">
        <is>
          <t>Test sites</t>
        </is>
      </c>
      <c r="E20" s="48" t="n"/>
      <c r="F20" s="78">
        <f>IF(NOT(ISNUMBER(B20)),"",IF(B20&gt;500,"500 T MAX",MAX(5,ROUNDUP(B20/50,0))))</f>
        <v>10</v>
      </c>
      <c r="G20" s="77" t="inlineStr">
        <is>
          <t>Spec. min. relative compaction, %</t>
        </is>
      </c>
      <c r="H20" s="60" t="n"/>
      <c r="I20" s="48" t="n"/>
      <c r="J20" s="79" t="n">
        <v>95</v>
      </c>
      <c r="K20" s="81" t="inlineStr">
        <is>
          <t>Result</t>
        </is>
      </c>
      <c r="L20" s="82" t="str">
        <f>IF(NOT(ISNUMBER(K43)),"",IF(AND(ISNUMBER(J20),K43&lt;J20),"LOW","PASS"))</f>
        <v>PASS</v>
      </c>
    </row>
    <row r="21" ht="17" customHeight="1">
      <c r="A21" s="83" t="inlineStr">
        <is>
          <t>Multiple layers of similar materials. 1st lift of 0.20 ft (conventional), 2nd lift of 0.20 ft (conventional) and 3rd lift of</t>
        </is>
      </c>
      <c r="B21" s="84" t="n"/>
      <c r="C21" s="84" t="n"/>
      <c r="D21" s="84" t="n"/>
      <c r="E21" s="84" t="n"/>
      <c r="F21" s="84" t="n"/>
      <c r="G21" s="84" t="n"/>
      <c r="H21" s="84" t="n"/>
      <c r="I21" s="84" t="n"/>
      <c r="J21" s="84" t="n"/>
      <c r="K21" s="84" t="n"/>
      <c r="L21" s="85" t="n"/>
    </row>
    <row r="22" ht="17" customHeight="1">
      <c r="A22" s="86" t="inlineStr">
        <is>
          <t>0.18 ft (similar material with combined thickness of at least 0.20 ft, thin lift or conventional). Conventional Troxler 3440</t>
        </is>
      </c>
      <c r="B22" s="87" t="n"/>
      <c r="C22" s="87" t="n"/>
      <c r="D22" s="87" t="n"/>
      <c r="E22" s="87" t="n"/>
      <c r="F22" s="87" t="n"/>
      <c r="G22" s="87" t="n"/>
      <c r="H22" s="87" t="n"/>
      <c r="I22" s="87" t="n"/>
      <c r="J22" s="87" t="n"/>
      <c r="K22" s="87" t="n"/>
      <c r="L22" s="88" t="n"/>
    </row>
    <row r="23" ht="17" customHeight="1">
      <c r="A23" s="86" t="inlineStr">
        <is>
          <t>was used here for all three lifts.</t>
        </is>
      </c>
      <c r="B23" s="87" t="n"/>
      <c r="C23" s="87" t="n"/>
      <c r="D23" s="87" t="n"/>
      <c r="E23" s="87" t="n"/>
      <c r="F23" s="87" t="n"/>
      <c r="G23" s="87" t="n"/>
      <c r="H23" s="87" t="n"/>
      <c r="I23" s="87" t="n"/>
      <c r="J23" s="87" t="n"/>
      <c r="K23" s="87" t="n"/>
      <c r="L23" s="88" t="n"/>
    </row>
    <row r="24" ht="17" customHeight="1">
      <c r="A24" s="86" t="inlineStr">
        <is>
          <t>At station 699+42, the transverse distance was moved from 12 to 11 (site is now 1 ft from edge).</t>
        </is>
      </c>
      <c r="B24" s="87" t="n"/>
      <c r="C24" s="87" t="n"/>
      <c r="D24" s="87" t="n"/>
      <c r="E24" s="87" t="n"/>
      <c r="F24" s="87" t="n"/>
      <c r="G24" s="87" t="n"/>
      <c r="H24" s="87" t="n"/>
      <c r="I24" s="87" t="n"/>
      <c r="J24" s="87" t="n"/>
      <c r="K24" s="87" t="n"/>
      <c r="L24" s="88" t="n"/>
    </row>
    <row r="25" ht="17" customHeight="1">
      <c r="A25" s="89" t="n"/>
      <c r="B25" s="90" t="n"/>
      <c r="C25" s="90" t="n"/>
      <c r="D25" s="90" t="n"/>
      <c r="E25" s="90" t="n"/>
      <c r="F25" s="90" t="n"/>
      <c r="G25" s="90" t="n"/>
      <c r="H25" s="90" t="n"/>
      <c r="I25" s="90" t="n"/>
      <c r="J25" s="90" t="n"/>
      <c r="K25" s="90" t="n"/>
      <c r="L25" s="91" t="n"/>
    </row>
    <row r="26" ht="18" customHeight="1">
      <c r="A26" s="92" t="inlineStr">
        <is>
          <t>COLUMN</t>
        </is>
      </c>
      <c r="B26" s="34" t="n"/>
      <c r="C26" s="93" t="inlineStr">
        <is>
          <t>RANDOM NUMBER</t>
        </is>
      </c>
      <c r="D26" s="31" t="n"/>
      <c r="E26" s="34" t="n"/>
      <c r="F26" s="94" t="inlineStr">
        <is>
          <t>Table #</t>
        </is>
      </c>
      <c r="G26" s="95">
        <f>IF($C$45=10,1,2)</f>
        <v>1</v>
      </c>
      <c r="H26" s="94" t="inlineStr">
        <is>
          <t>Block #</t>
        </is>
      </c>
      <c r="I26" s="96" t="n">
        <v>0</v>
      </c>
      <c r="J26" s="97" t="n"/>
      <c r="K26" s="97" t="n"/>
      <c r="L26" s="98" t="n"/>
    </row>
    <row r="27" ht="18" customHeight="1">
      <c r="A27" s="42" t="inlineStr">
        <is>
          <t>(G) Left (Longitudinal Location)</t>
        </is>
      </c>
      <c r="B27" s="43" t="n"/>
      <c r="C27" s="99">
        <f>IF(C50="","",INDEX($C$47:$L$47,MATCH(C50,$C$49:$L$49,0)))</f>
        <v>0.053</v>
      </c>
      <c r="D27" s="99">
        <f>IF(D50="","",INDEX($C$47:$L$47,MATCH(D50,$C$49:$L$49,0)))</f>
        <v>0.081</v>
      </c>
      <c r="E27" s="99">
        <f>IF(E50="","",INDEX($C$47:$L$47,MATCH(E50,$C$49:$L$49,0)))</f>
        <v>0.095</v>
      </c>
      <c r="F27" s="99">
        <f>IF(F50="","",INDEX($C$47:$L$47,MATCH(F50,$C$49:$L$49,0)))</f>
        <v>0.576</v>
      </c>
      <c r="G27" s="99">
        <f>IF(G50="","",INDEX($C$47:$L$47,MATCH(G50,$C$49:$L$49,0)))</f>
        <v>0.609</v>
      </c>
      <c r="H27" s="99">
        <f>IF(H50="","",INDEX($C$47:$L$47,MATCH(H50,$C$49:$L$49,0)))</f>
        <v>0.669</v>
      </c>
      <c r="I27" s="99">
        <f>IF(I50="","",INDEX($C$47:$L$47,MATCH(I50,$C$49:$L$49,0)))</f>
        <v>0.81</v>
      </c>
      <c r="J27" s="99">
        <f>IF(J50="","",INDEX($C$47:$L$47,MATCH(J50,$C$49:$L$49,0)))</f>
        <v>0.892</v>
      </c>
      <c r="K27" s="99">
        <f>IF(K50="","",INDEX($C$47:$L$47,MATCH(K50,$C$49:$L$49,0)))</f>
        <v>0.971</v>
      </c>
      <c r="L27" s="100">
        <f>IF(L50="","",INDEX($C$47:$L$47,MATCH(L50,$C$49:$L$49,0)))</f>
        <v>0.982</v>
      </c>
    </row>
    <row r="28" ht="18" customHeight="1">
      <c r="A28" s="47" t="inlineStr">
        <is>
          <t>(H) Right (Transverse Location)</t>
        </is>
      </c>
      <c r="B28" s="48" t="n"/>
      <c r="C28" s="101">
        <f>IF(C50="","",INDEX($C$48:$L$48,MATCH(C50,$C$49:$L$49,0)))</f>
        <v>0.73</v>
      </c>
      <c r="D28" s="101">
        <f>IF(D50="","",INDEX($C$48:$L$48,MATCH(D50,$C$49:$L$49,0)))</f>
        <v>0.948</v>
      </c>
      <c r="E28" s="101">
        <f>IF(E50="","",INDEX($C$48:$L$48,MATCH(E50,$C$49:$L$49,0)))</f>
        <v>0.726</v>
      </c>
      <c r="F28" s="101">
        <f>IF(F50="","",INDEX($C$48:$L$48,MATCH(F50,$C$49:$L$49,0)))</f>
        <v>0.482</v>
      </c>
      <c r="G28" s="101">
        <f>IF(G50="","",INDEX($C$48:$L$48,MATCH(G50,$C$49:$L$49,0)))</f>
        <v>0.824</v>
      </c>
      <c r="H28" s="101">
        <f>IF(H50="","",INDEX($C$48:$L$48,MATCH(H50,$C$49:$L$49,0)))</f>
        <v>0.899</v>
      </c>
      <c r="I28" s="101">
        <f>IF(I50="","",INDEX($C$48:$L$48,MATCH(I50,$C$49:$L$49,0)))</f>
        <v>0.159</v>
      </c>
      <c r="J28" s="101">
        <f>IF(J50="","",INDEX($C$48:$L$48,MATCH(J50,$C$49:$L$49,0)))</f>
        <v>0.277</v>
      </c>
      <c r="K28" s="101">
        <f>IF(K50="","",INDEX($C$48:$L$48,MATCH(K50,$C$49:$L$49,0)))</f>
        <v>0.468</v>
      </c>
      <c r="L28" s="102">
        <f>IF(L50="","",INDEX($C$48:$L$48,MATCH(L50,$C$49:$L$49,0)))</f>
        <v>0.801</v>
      </c>
    </row>
    <row r="29" ht="18" customHeight="1">
      <c r="A29" s="92" t="inlineStr">
        <is>
          <t>TEST SITE LOCATIONS</t>
        </is>
      </c>
      <c r="B29" s="32" t="n"/>
      <c r="C29" s="103">
        <f>IF((COLUMN()-2)&gt;$C$45,"",(COLUMN()-2))</f>
        <v>1</v>
      </c>
      <c r="D29" s="103">
        <f>IF((COLUMN()-2)&gt;$C$45,"",(COLUMN()-2))</f>
        <v>2</v>
      </c>
      <c r="E29" s="103">
        <f>IF((COLUMN()-2)&gt;$C$45,"",(COLUMN()-2))</f>
        <v>3</v>
      </c>
      <c r="F29" s="103">
        <f>IF((COLUMN()-2)&gt;$C$45,"",(COLUMN()-2))</f>
        <v>4</v>
      </c>
      <c r="G29" s="103">
        <f>IF((COLUMN()-2)&gt;$C$45,"",(COLUMN()-2))</f>
        <v>5</v>
      </c>
      <c r="H29" s="103">
        <f>IF((COLUMN()-2)&gt;$C$45,"",(COLUMN()-2))</f>
        <v>6</v>
      </c>
      <c r="I29" s="103">
        <f>IF((COLUMN()-2)&gt;$C$45,"",(COLUMN()-2))</f>
        <v>7</v>
      </c>
      <c r="J29" s="103">
        <f>IF((COLUMN()-2)&gt;$C$45,"",(COLUMN()-2))</f>
        <v>8</v>
      </c>
      <c r="K29" s="103">
        <f>IF((COLUMN()-2)&gt;$C$45,"",(COLUMN()-2))</f>
        <v>9</v>
      </c>
      <c r="L29" s="104">
        <f>IF((COLUMN()-2)&gt;$C$45,"",(COLUMN()-2))</f>
        <v>10</v>
      </c>
    </row>
    <row r="30" ht="31" customHeight="1">
      <c r="A30" s="105" t="inlineStr">
        <is>
          <t>(I) Longitudinal Distance from Start
      D x G (Round up to Whole Number)</t>
        </is>
      </c>
      <c r="B30" s="57" t="n"/>
      <c r="C30" s="106">
        <f>IF(OR(C27="",NOT(ISNUMBER($I$16))),"",IF($I$16&lt;=0,"",ROUNDUP($I$16*C27,0)))</f>
        <v>54</v>
      </c>
      <c r="D30" s="106">
        <f>IF(OR(D27="",NOT(ISNUMBER($I$16))),"",IF($I$16&lt;=0,"",ROUNDUP($I$16*D27,0)))</f>
        <v>83</v>
      </c>
      <c r="E30" s="106">
        <f>IF(OR(E27="",NOT(ISNUMBER($I$16))),"",IF($I$16&lt;=0,"",ROUNDUP($I$16*E27,0)))</f>
        <v>97</v>
      </c>
      <c r="F30" s="106">
        <f>IF(OR(F27="",NOT(ISNUMBER($I$16))),"",IF($I$16&lt;=0,"",ROUNDUP($I$16*F27,0)))</f>
        <v>587</v>
      </c>
      <c r="G30" s="106">
        <f>IF(OR(G27="",NOT(ISNUMBER($I$16))),"",IF($I$16&lt;=0,"",ROUNDUP($I$16*G27,0)))</f>
        <v>620</v>
      </c>
      <c r="H30" s="106">
        <f>IF(OR(H27="",NOT(ISNUMBER($I$16))),"",IF($I$16&lt;=0,"",ROUNDUP($I$16*H27,0)))</f>
        <v>682</v>
      </c>
      <c r="I30" s="106">
        <f>IF(OR(I27="",NOT(ISNUMBER($I$16))),"",IF($I$16&lt;=0,"",ROUNDUP($I$16*I27,0)))</f>
        <v>825</v>
      </c>
      <c r="J30" s="106">
        <f>IF(OR(J27="",NOT(ISNUMBER($I$16))),"",IF($I$16&lt;=0,"",ROUNDUP($I$16*J27,0)))</f>
        <v>909</v>
      </c>
      <c r="K30" s="106">
        <f>IF(OR(K27="",NOT(ISNUMBER($I$16))),"",IF($I$16&lt;=0,"",ROUNDUP($I$16*K27,0)))</f>
        <v>989</v>
      </c>
      <c r="L30" s="107">
        <f>IF(OR(L27="",NOT(ISNUMBER($I$16))),"",IF($I$16&lt;=0,"",ROUNDUP($I$16*L27,0)))</f>
        <v>1000</v>
      </c>
    </row>
    <row r="31" ht="18" customHeight="1">
      <c r="A31" s="42" t="inlineStr">
        <is>
          <t>(J) Station I + B</t>
        </is>
      </c>
      <c r="B31" s="57" t="n"/>
      <c r="C31" s="108">
        <f>IF(OR(C30="",NOT(ISNUMBER($C$46))),"",$C$46+C30)</f>
        <v>69913</v>
      </c>
      <c r="D31" s="108">
        <f>IF(OR(D30="",NOT(ISNUMBER($C$46))),"",$C$46+D30)</f>
        <v>69942</v>
      </c>
      <c r="E31" s="108">
        <f>IF(OR(E30="",NOT(ISNUMBER($C$46))),"",$C$46+E30)</f>
        <v>69956</v>
      </c>
      <c r="F31" s="108">
        <f>IF(OR(F30="",NOT(ISNUMBER($C$46))),"",$C$46+F30)</f>
        <v>70446</v>
      </c>
      <c r="G31" s="108">
        <f>IF(OR(G30="",NOT(ISNUMBER($C$46))),"",$C$46+G30)</f>
        <v>70479</v>
      </c>
      <c r="H31" s="108">
        <f>IF(OR(H30="",NOT(ISNUMBER($C$46))),"",$C$46+H30)</f>
        <v>70541</v>
      </c>
      <c r="I31" s="108">
        <f>IF(OR(I30="",NOT(ISNUMBER($C$46))),"",$C$46+I30)</f>
        <v>70684</v>
      </c>
      <c r="J31" s="108">
        <f>IF(OR(J30="",NOT(ISNUMBER($C$46))),"",$C$46+J30)</f>
        <v>70768</v>
      </c>
      <c r="K31" s="108">
        <f>IF(OR(K30="",NOT(ISNUMBER($C$46))),"",$C$46+K30)</f>
        <v>70848</v>
      </c>
      <c r="L31" s="109">
        <f>IF(OR(L30="",NOT(ISNUMBER($C$46))),"",$C$46+L30)</f>
        <v>70859</v>
      </c>
    </row>
    <row r="32" ht="31" customHeight="1">
      <c r="A32" s="105" t="inlineStr">
        <is>
          <t>(K) Transverse Distance from Edge
      E x H (Round up to Whole Number)</t>
        </is>
      </c>
      <c r="B32" s="57" t="n"/>
      <c r="C32" s="106">
        <f>IF(OR(C28="",NOT(ISNUMBER($I$17))),"",IF($I$17&lt;2,"",MIN(MAX(ROUNDUP($I$17*C28,0),1),$I$17-1)))</f>
        <v>9</v>
      </c>
      <c r="D32" s="106">
        <f>IF(OR(D28="",NOT(ISNUMBER($I$17))),"",IF($I$17&lt;2,"",MIN(MAX(ROUNDUP($I$17*D28,0),1),$I$17-1)))</f>
        <v>11</v>
      </c>
      <c r="E32" s="106">
        <f>IF(OR(E28="",NOT(ISNUMBER($I$17))),"",IF($I$17&lt;2,"",MIN(MAX(ROUNDUP($I$17*E28,0),1),$I$17-1)))</f>
        <v>9</v>
      </c>
      <c r="F32" s="106">
        <f>IF(OR(F28="",NOT(ISNUMBER($I$17))),"",IF($I$17&lt;2,"",MIN(MAX(ROUNDUP($I$17*F28,0),1),$I$17-1)))</f>
        <v>6</v>
      </c>
      <c r="G32" s="106">
        <f>IF(OR(G28="",NOT(ISNUMBER($I$17))),"",IF($I$17&lt;2,"",MIN(MAX(ROUNDUP($I$17*G28,0),1),$I$17-1)))</f>
        <v>10</v>
      </c>
      <c r="H32" s="106">
        <f>IF(OR(H28="",NOT(ISNUMBER($I$17))),"",IF($I$17&lt;2,"",MIN(MAX(ROUNDUP($I$17*H28,0),1),$I$17-1)))</f>
        <v>11</v>
      </c>
      <c r="I32" s="106">
        <f>IF(OR(I28="",NOT(ISNUMBER($I$17))),"",IF($I$17&lt;2,"",MIN(MAX(ROUNDUP($I$17*I28,0),1),$I$17-1)))</f>
        <v>2</v>
      </c>
      <c r="J32" s="106">
        <f>IF(OR(J28="",NOT(ISNUMBER($I$17))),"",IF($I$17&lt;2,"",MIN(MAX(ROUNDUP($I$17*J28,0),1),$I$17-1)))</f>
        <v>4</v>
      </c>
      <c r="K32" s="106">
        <f>IF(OR(K28="",NOT(ISNUMBER($I$17))),"",IF($I$17&lt;2,"",MIN(MAX(ROUNDUP($I$17*K28,0),1),$I$17-1)))</f>
        <v>6</v>
      </c>
      <c r="L32" s="107">
        <f>IF(OR(L28="",NOT(ISNUMBER($I$17))),"",IF($I$17&lt;2,"",MIN(MAX(ROUNDUP($I$17*L28,0),1),$I$17-1)))</f>
        <v>10</v>
      </c>
    </row>
    <row r="33" ht="17" customHeight="1">
      <c r="A33" s="110" t="inlineStr">
        <is>
          <t>(L) Nuclear Reading</t>
        </is>
      </c>
      <c r="B33" s="111" t="inlineStr">
        <is>
          <t>a</t>
        </is>
      </c>
      <c r="C33" s="135" t="n">
        <v>600</v>
      </c>
      <c r="D33" s="135" t="n">
        <v>601</v>
      </c>
      <c r="E33" s="135" t="n">
        <v>587</v>
      </c>
      <c r="F33" s="135" t="n">
        <v>584</v>
      </c>
      <c r="G33" s="135" t="n">
        <v>591</v>
      </c>
      <c r="H33" s="135" t="n">
        <v>598</v>
      </c>
      <c r="I33" s="135" t="n">
        <v>581</v>
      </c>
      <c r="J33" s="135" t="n">
        <v>594</v>
      </c>
      <c r="K33" s="135" t="n">
        <v>587</v>
      </c>
      <c r="L33" s="136" t="n">
        <v>598</v>
      </c>
    </row>
    <row r="34" ht="17" customHeight="1">
      <c r="A34" s="137" t="inlineStr">
        <is>
          <t xml:space="preserve">      (Field Count)</t>
        </is>
      </c>
      <c r="B34" s="111" t="inlineStr">
        <is>
          <t>b</t>
        </is>
      </c>
      <c r="C34" s="135" t="n">
        <v>594</v>
      </c>
      <c r="D34" s="135" t="n">
        <v>587</v>
      </c>
      <c r="E34" s="135" t="n">
        <v>594</v>
      </c>
      <c r="F34" s="135" t="n">
        <v>587</v>
      </c>
      <c r="G34" s="135" t="n">
        <v>578</v>
      </c>
      <c r="H34" s="135" t="n">
        <v>594</v>
      </c>
      <c r="I34" s="135" t="n">
        <v>591</v>
      </c>
      <c r="J34" s="135" t="n">
        <v>580</v>
      </c>
      <c r="K34" s="135" t="n">
        <v>593</v>
      </c>
      <c r="L34" s="136" t="n">
        <v>586</v>
      </c>
    </row>
    <row r="35" ht="17" customHeight="1">
      <c r="A35" s="110" t="inlineStr">
        <is>
          <t>(M) Count Ratio (L / A)</t>
        </is>
      </c>
      <c r="B35" s="111" t="inlineStr">
        <is>
          <t>a</t>
        </is>
      </c>
      <c r="C35" s="138">
        <f>IF(OR(NOT(ISNUMBER(C33)),NOT(ISNUMBER($B$16))),"",IF($B$16&lt;=0,"",ROUND(C33/$B$16,3)))</f>
        <v>0.225</v>
      </c>
      <c r="D35" s="138">
        <f>IF(OR(NOT(ISNUMBER(D33)),NOT(ISNUMBER($B$16))),"",IF($B$16&lt;=0,"",ROUND(D33/$B$16,3)))</f>
        <v>0.226</v>
      </c>
      <c r="E35" s="138">
        <f>IF(OR(NOT(ISNUMBER(E33)),NOT(ISNUMBER($B$16))),"",IF($B$16&lt;=0,"",ROUND(E33/$B$16,3)))</f>
        <v>0.221</v>
      </c>
      <c r="F35" s="138">
        <f>IF(OR(NOT(ISNUMBER(F33)),NOT(ISNUMBER($B$16))),"",IF($B$16&lt;=0,"",ROUND(F33/$B$16,3)))</f>
        <v>0.219</v>
      </c>
      <c r="G35" s="138">
        <f>IF(OR(NOT(ISNUMBER(G33)),NOT(ISNUMBER($B$16))),"",IF($B$16&lt;=0,"",ROUND(G33/$B$16,3)))</f>
        <v>0.222</v>
      </c>
      <c r="H35" s="138">
        <f>IF(OR(NOT(ISNUMBER(H33)),NOT(ISNUMBER($B$16))),"",IF($B$16&lt;=0,"",ROUND(H33/$B$16,3)))</f>
        <v>0.225</v>
      </c>
      <c r="I35" s="138">
        <f>IF(OR(NOT(ISNUMBER(I33)),NOT(ISNUMBER($B$16))),"",IF($B$16&lt;=0,"",ROUND(I33/$B$16,3)))</f>
        <v>0.218</v>
      </c>
      <c r="J35" s="138">
        <f>IF(OR(NOT(ISNUMBER(J33)),NOT(ISNUMBER($B$16))),"",IF($B$16&lt;=0,"",ROUND(J33/$B$16,3)))</f>
        <v>0.223</v>
      </c>
      <c r="K35" s="138">
        <f>IF(OR(NOT(ISNUMBER(K33)),NOT(ISNUMBER($B$16))),"",IF($B$16&lt;=0,"",ROUND(K33/$B$16,3)))</f>
        <v>0.221</v>
      </c>
      <c r="L35" s="139">
        <f>IF(OR(NOT(ISNUMBER(L33)),NOT(ISNUMBER($B$16))),"",IF($B$16&lt;=0,"",ROUND(L33/$B$16,3)))</f>
        <v>0.225</v>
      </c>
    </row>
    <row r="36" ht="17" customHeight="1">
      <c r="A36" s="140" t="n"/>
      <c r="B36" s="111" t="inlineStr">
        <is>
          <t>b</t>
        </is>
      </c>
      <c r="C36" s="138">
        <f>IF(OR(NOT(ISNUMBER(C34)),NOT(ISNUMBER($B$16))),"",IF($B$16&lt;=0,"",ROUND(C34/$B$16,3)))</f>
        <v>0.223</v>
      </c>
      <c r="D36" s="138">
        <f>IF(OR(NOT(ISNUMBER(D34)),NOT(ISNUMBER($B$16))),"",IF($B$16&lt;=0,"",ROUND(D34/$B$16,3)))</f>
        <v>0.221</v>
      </c>
      <c r="E36" s="138">
        <f>IF(OR(NOT(ISNUMBER(E34)),NOT(ISNUMBER($B$16))),"",IF($B$16&lt;=0,"",ROUND(E34/$B$16,3)))</f>
        <v>0.223</v>
      </c>
      <c r="F36" s="138">
        <f>IF(OR(NOT(ISNUMBER(F34)),NOT(ISNUMBER($B$16))),"",IF($B$16&lt;=0,"",ROUND(F34/$B$16,3)))</f>
        <v>0.221</v>
      </c>
      <c r="G36" s="138">
        <f>IF(OR(NOT(ISNUMBER(G34)),NOT(ISNUMBER($B$16))),"",IF($B$16&lt;=0,"",ROUND(G34/$B$16,3)))</f>
        <v>0.217</v>
      </c>
      <c r="H36" s="138">
        <f>IF(OR(NOT(ISNUMBER(H34)),NOT(ISNUMBER($B$16))),"",IF($B$16&lt;=0,"",ROUND(H34/$B$16,3)))</f>
        <v>0.223</v>
      </c>
      <c r="I36" s="138">
        <f>IF(OR(NOT(ISNUMBER(I34)),NOT(ISNUMBER($B$16))),"",IF($B$16&lt;=0,"",ROUND(I34/$B$16,3)))</f>
        <v>0.222</v>
      </c>
      <c r="J36" s="138">
        <f>IF(OR(NOT(ISNUMBER(J34)),NOT(ISNUMBER($B$16))),"",IF($B$16&lt;=0,"",ROUND(J34/$B$16,3)))</f>
        <v>0.218</v>
      </c>
      <c r="K36" s="138">
        <f>IF(OR(NOT(ISNUMBER(K34)),NOT(ISNUMBER($B$16))),"",IF($B$16&lt;=0,"",ROUND(K34/$B$16,3)))</f>
        <v>0.223</v>
      </c>
      <c r="L36" s="139">
        <f>IF(OR(NOT(ISNUMBER(L34)),NOT(ISNUMBER($B$16))),"",IF($B$16&lt;=0,"",ROUND(L34/$B$16,3)))</f>
        <v>0.22</v>
      </c>
    </row>
    <row r="37" ht="17" customHeight="1">
      <c r="A37" s="110" t="inlineStr">
        <is>
          <t>(N) Density (g/cc)</t>
        </is>
      </c>
      <c r="B37" s="111" t="inlineStr">
        <is>
          <t>a</t>
        </is>
      </c>
      <c r="C37" s="112" t="n">
        <v>2.36</v>
      </c>
      <c r="D37" s="112" t="n">
        <v>2.35</v>
      </c>
      <c r="E37" s="112" t="n">
        <v>2.37</v>
      </c>
      <c r="F37" s="112" t="n">
        <v>2.38</v>
      </c>
      <c r="G37" s="112" t="n">
        <v>2.37</v>
      </c>
      <c r="H37" s="112" t="n">
        <v>2.37</v>
      </c>
      <c r="I37" s="112" t="n">
        <v>2.38</v>
      </c>
      <c r="J37" s="112" t="n">
        <v>2.36</v>
      </c>
      <c r="K37" s="112" t="n">
        <v>2.37</v>
      </c>
      <c r="L37" s="113" t="n">
        <v>2.35</v>
      </c>
    </row>
    <row r="38" ht="17" customHeight="1">
      <c r="A38" s="141" t="inlineStr">
        <is>
          <t xml:space="preserve">      (round to nearest 0.01 g/cc)</t>
        </is>
      </c>
      <c r="B38" s="111" t="inlineStr">
        <is>
          <t>b</t>
        </is>
      </c>
      <c r="C38" s="112" t="n">
        <v>2.35</v>
      </c>
      <c r="D38" s="112" t="n">
        <v>2.37</v>
      </c>
      <c r="E38" s="112" t="n">
        <v>2.36</v>
      </c>
      <c r="F38" s="112" t="n">
        <v>2.37</v>
      </c>
      <c r="G38" s="112" t="n">
        <v>2.39</v>
      </c>
      <c r="H38" s="112" t="n">
        <v>2.36</v>
      </c>
      <c r="I38" s="112" t="n">
        <v>2.37</v>
      </c>
      <c r="J38" s="112" t="n">
        <v>2.38</v>
      </c>
      <c r="K38" s="112" t="n">
        <v>2.36</v>
      </c>
      <c r="L38" s="113" t="n">
        <v>2.37</v>
      </c>
    </row>
    <row r="39" ht="17" customHeight="1">
      <c r="A39" s="115" t="n"/>
      <c r="B39" s="116" t="inlineStr">
        <is>
          <t>Avg.</t>
        </is>
      </c>
      <c r="C39" s="117">
        <f>IF(C$29="","",IF(COUNT(C37:C38)&lt;2,"",IF(ROUND(ABS(C37-C38),2)&gt;0.05,"RETEST",ROUND(AVERAGE(C37:C38),2))))</f>
        <v>2.36</v>
      </c>
      <c r="D39" s="117">
        <f>IF(D$29="","",IF(COUNT(D37:D38)&lt;2,"",IF(ROUND(ABS(D37-D38),2)&gt;0.05,"RETEST",ROUND(AVERAGE(D37:D38),2))))</f>
        <v>2.36</v>
      </c>
      <c r="E39" s="117">
        <f>IF(E$29="","",IF(COUNT(E37:E38)&lt;2,"",IF(ROUND(ABS(E37-E38),2)&gt;0.05,"RETEST",ROUND(AVERAGE(E37:E38),2))))</f>
        <v>2.37</v>
      </c>
      <c r="F39" s="117">
        <f>IF(F$29="","",IF(COUNT(F37:F38)&lt;2,"",IF(ROUND(ABS(F37-F38),2)&gt;0.05,"RETEST",ROUND(AVERAGE(F37:F38),2))))</f>
        <v>2.38</v>
      </c>
      <c r="G39" s="117">
        <f>IF(G$29="","",IF(COUNT(G37:G38)&lt;2,"",IF(ROUND(ABS(G37-G38),2)&gt;0.05,"RETEST",ROUND(AVERAGE(G37:G38),2))))</f>
        <v>2.38</v>
      </c>
      <c r="H39" s="117">
        <f>IF(H$29="","",IF(COUNT(H37:H38)&lt;2,"",IF(ROUND(ABS(H37-H38),2)&gt;0.05,"RETEST",ROUND(AVERAGE(H37:H38),2))))</f>
        <v>2.37</v>
      </c>
      <c r="I39" s="117">
        <f>IF(I$29="","",IF(COUNT(I37:I38)&lt;2,"",IF(ROUND(ABS(I37-I38),2)&gt;0.05,"RETEST",ROUND(AVERAGE(I37:I38),2))))</f>
        <v>2.38</v>
      </c>
      <c r="J39" s="117">
        <f>IF(J$29="","",IF(COUNT(J37:J38)&lt;2,"",IF(ROUND(ABS(J37-J38),2)&gt;0.05,"RETEST",ROUND(AVERAGE(J37:J38),2))))</f>
        <v>2.37</v>
      </c>
      <c r="K39" s="117">
        <f>IF(K$29="","",IF(COUNT(K37:K38)&lt;2,"",IF(ROUND(ABS(K37-K38),2)&gt;0.05,"RETEST",ROUND(AVERAGE(K37:K38),2))))</f>
        <v>2.37</v>
      </c>
      <c r="L39" s="118">
        <f>IF(L$29="","",IF(COUNT(L37:L38)&lt;2,"",IF(ROUND(ABS(L37-L38),2)&gt;0.05,"RETEST",ROUND(AVERAGE(L37:L38),2))))</f>
        <v>2.36</v>
      </c>
    </row>
    <row r="40" ht="18" customHeight="1">
      <c r="A40" s="119" t="inlineStr">
        <is>
          <t>(O) Average In-Place Density (all sites), g/cc</t>
        </is>
      </c>
      <c r="B40" s="31" t="n"/>
      <c r="C40" s="34" t="n"/>
      <c r="D40" s="120">
        <f>IF(COUNT($C$39:$L$39)=0,"",IF(COUNT($C$39:$L$39)&lt;$C$45,COUNT($C$39:$L$39)&amp;" of "&amp;$C$45&amp;" sites",ROUND(AVERAGE($C$39:$L$39),2)))</f>
        <v>2.37</v>
      </c>
      <c r="E40" s="32" t="n"/>
      <c r="F40" s="119" t="inlineStr">
        <is>
          <t>(R) FTMD (CT 308 “A” or Corrected “C”), g/cc</t>
        </is>
      </c>
      <c r="G40" s="31" t="n"/>
      <c r="H40" s="31" t="n"/>
      <c r="I40" s="31" t="n"/>
      <c r="J40" s="34" t="n"/>
      <c r="K40" s="142" t="n">
        <v>2.43</v>
      </c>
      <c r="L40" s="98" t="n"/>
    </row>
    <row r="41" ht="18" customHeight="1">
      <c r="A41" s="42" t="inlineStr">
        <is>
          <t>After Exclusions (test strips only)</t>
        </is>
      </c>
      <c r="B41" s="53" t="n"/>
      <c r="C41" s="43" t="n"/>
      <c r="D41" s="122" t="inlineStr">
        <is>
          <t>N/A</t>
        </is>
      </c>
      <c r="E41" s="38" t="n"/>
      <c r="F41" s="42" t="inlineStr">
        <is>
          <t>(S) Correlation Factor (Part 5, G) and Date</t>
        </is>
      </c>
      <c r="G41" s="53" t="n"/>
      <c r="H41" s="53" t="n"/>
      <c r="I41" s="53" t="n"/>
      <c r="J41" s="43" t="n"/>
      <c r="K41" s="143" t="n">
        <v>1.016</v>
      </c>
      <c r="L41" s="144" t="n">
        <v>37663</v>
      </c>
    </row>
    <row r="42" ht="18" customHeight="1">
      <c r="A42" s="42" t="inlineStr">
        <is>
          <t>(P) Conversion Factor (gage to cores)</t>
        </is>
      </c>
      <c r="B42" s="53" t="n"/>
      <c r="C42" s="43" t="n"/>
      <c r="D42" s="122" t="n">
        <v>0.01</v>
      </c>
      <c r="E42" s="38" t="n"/>
      <c r="F42" s="42" t="inlineStr">
        <is>
          <t>(T) LTMD or Correlated FTMD (R x S), g/cc</t>
        </is>
      </c>
      <c r="G42" s="53" t="n"/>
      <c r="H42" s="53" t="n"/>
      <c r="I42" s="53" t="n"/>
      <c r="J42" s="43" t="n"/>
      <c r="K42" s="122">
        <f>IF(AND(ISNUMBER(K40),ISNUMBER(K41)),ROUND(K40*K41,2),"")</f>
        <v>2.47</v>
      </c>
      <c r="L42" s="38" t="n"/>
    </row>
    <row r="43" ht="18" customHeight="1">
      <c r="A43" s="47" t="inlineStr">
        <is>
          <t>(Q) Corrected In-Place Density (O + P), g/cc</t>
        </is>
      </c>
      <c r="B43" s="60" t="n"/>
      <c r="C43" s="48" t="n"/>
      <c r="D43" s="126">
        <f>IF(AND(ISNUMBER(D40),ISNUMBER(D42)),ROUND(D40+D42,2),"")</f>
        <v>2.38</v>
      </c>
      <c r="E43" s="61" t="n"/>
      <c r="F43" s="47" t="inlineStr">
        <is>
          <t>(U) Relative Compaction (Q / T), %</t>
        </is>
      </c>
      <c r="G43" s="60" t="n"/>
      <c r="H43" s="60" t="n"/>
      <c r="I43" s="60" t="n"/>
      <c r="J43" s="48" t="n"/>
      <c r="K43" s="127">
        <f>IF(AND(ISNUMBER(D43),ISNUMBER(K42)),IF(K42&gt;0,ROUND(D43/K42*100,1),""),"")</f>
        <v>96.4</v>
      </c>
      <c r="L43" s="61" t="n"/>
    </row>
    <row r="44" hidden="1">
      <c r="A44" s="129" t="inlineStr">
        <is>
          <t>Helpers for the formulas above. Do not edit.</t>
        </is>
      </c>
    </row>
    <row r="45" hidden="1">
      <c r="A45" s="129" t="inlineStr">
        <is>
          <t>Sites / block in use</t>
        </is>
      </c>
      <c r="C45">
        <f>IF(ISNUMBER(F20),MIN(10,MAX(1,INT(F20))),10)</f>
        <v>10</v>
      </c>
      <c r="D45">
        <f>IF(I26="","",IF(ISNUMBER(I26),MOD(INT(I26),10),IFERROR(MOD(INT(VALUE(I26)),10),"")))</f>
        <v>0</v>
      </c>
    </row>
    <row r="46" hidden="1">
      <c r="A46" s="129" t="inlineStr">
        <is>
          <t>Start / finish station</t>
        </is>
      </c>
      <c r="C46">
        <f>IF(ISNUMBER(I14),I14,IF(TRIM(I14)="","",IFERROR(VALUE(SUBSTITUTE(SUBSTITUTE(TRIM(I14),"+","")," ","")),"")))</f>
        <v>69859</v>
      </c>
      <c r="D46">
        <f>IF(ISNUMBER(I15),I15,IF(TRIM(I15)="","",IFERROR(VALUE(SUBSTITUTE(SUBSTITUTE(TRIM(I15),"+","")," ","")),"")))</f>
        <v>70877</v>
      </c>
    </row>
    <row r="47" hidden="1">
      <c r="A47" s="129" t="inlineStr">
        <is>
          <t>Pairs from the table: longit.</t>
        </is>
      </c>
      <c r="C47">
        <f>IF(OR($D$45="",(COLUMN()-2)&gt;$C$45),"",IF($G$26=1,IF($D$45&lt;5,INDEX('Table 1'!$B$5:$K$14,(COLUMN()-2),2*$D$45+1),INDEX('Table 1'!$B$17:$K$26,(COLUMN()-2),2*($D$45-5)+1)),IF($D$45&lt;5,INDEX('Table 2'!$B$5:$K$13,(COLUMN()-2),2*$D$45+1),INDEX('Table 2'!$B$16:$K$24,(COLUMN()-2),2*($D$45-5)+1))))</f>
        <v>0.053</v>
      </c>
      <c r="D47">
        <f>IF(OR($D$45="",(COLUMN()-2)&gt;$C$45),"",IF($G$26=1,IF($D$45&lt;5,INDEX('Table 1'!$B$5:$K$14,(COLUMN()-2),2*$D$45+1),INDEX('Table 1'!$B$17:$K$26,(COLUMN()-2),2*($D$45-5)+1)),IF($D$45&lt;5,INDEX('Table 2'!$B$5:$K$13,(COLUMN()-2),2*$D$45+1),INDEX('Table 2'!$B$16:$K$24,(COLUMN()-2),2*($D$45-5)+1))))</f>
        <v>0.081</v>
      </c>
      <c r="E47">
        <f>IF(OR($D$45="",(COLUMN()-2)&gt;$C$45),"",IF($G$26=1,IF($D$45&lt;5,INDEX('Table 1'!$B$5:$K$14,(COLUMN()-2),2*$D$45+1),INDEX('Table 1'!$B$17:$K$26,(COLUMN()-2),2*($D$45-5)+1)),IF($D$45&lt;5,INDEX('Table 2'!$B$5:$K$13,(COLUMN()-2),2*$D$45+1),INDEX('Table 2'!$B$16:$K$24,(COLUMN()-2),2*($D$45-5)+1))))</f>
        <v>0.095</v>
      </c>
      <c r="F47">
        <f>IF(OR($D$45="",(COLUMN()-2)&gt;$C$45),"",IF($G$26=1,IF($D$45&lt;5,INDEX('Table 1'!$B$5:$K$14,(COLUMN()-2),2*$D$45+1),INDEX('Table 1'!$B$17:$K$26,(COLUMN()-2),2*($D$45-5)+1)),IF($D$45&lt;5,INDEX('Table 2'!$B$5:$K$13,(COLUMN()-2),2*$D$45+1),INDEX('Table 2'!$B$16:$K$24,(COLUMN()-2),2*($D$45-5)+1))))</f>
        <v>0.576</v>
      </c>
      <c r="G47">
        <f>IF(OR($D$45="",(COLUMN()-2)&gt;$C$45),"",IF($G$26=1,IF($D$45&lt;5,INDEX('Table 1'!$B$5:$K$14,(COLUMN()-2),2*$D$45+1),INDEX('Table 1'!$B$17:$K$26,(COLUMN()-2),2*($D$45-5)+1)),IF($D$45&lt;5,INDEX('Table 2'!$B$5:$K$13,(COLUMN()-2),2*$D$45+1),INDEX('Table 2'!$B$16:$K$24,(COLUMN()-2),2*($D$45-5)+1))))</f>
        <v>0.609</v>
      </c>
      <c r="H47">
        <f>IF(OR($D$45="",(COLUMN()-2)&gt;$C$45),"",IF($G$26=1,IF($D$45&lt;5,INDEX('Table 1'!$B$5:$K$14,(COLUMN()-2),2*$D$45+1),INDEX('Table 1'!$B$17:$K$26,(COLUMN()-2),2*($D$45-5)+1)),IF($D$45&lt;5,INDEX('Table 2'!$B$5:$K$13,(COLUMN()-2),2*$D$45+1),INDEX('Table 2'!$B$16:$K$24,(COLUMN()-2),2*($D$45-5)+1))))</f>
        <v>0.669</v>
      </c>
      <c r="I47">
        <f>IF(OR($D$45="",(COLUMN()-2)&gt;$C$45),"",IF($G$26=1,IF($D$45&lt;5,INDEX('Table 1'!$B$5:$K$14,(COLUMN()-2),2*$D$45+1),INDEX('Table 1'!$B$17:$K$26,(COLUMN()-2),2*($D$45-5)+1)),IF($D$45&lt;5,INDEX('Table 2'!$B$5:$K$13,(COLUMN()-2),2*$D$45+1),INDEX('Table 2'!$B$16:$K$24,(COLUMN()-2),2*($D$45-5)+1))))</f>
        <v>0.81</v>
      </c>
      <c r="J47">
        <f>IF(OR($D$45="",(COLUMN()-2)&gt;$C$45),"",IF($G$26=1,IF($D$45&lt;5,INDEX('Table 1'!$B$5:$K$14,(COLUMN()-2),2*$D$45+1),INDEX('Table 1'!$B$17:$K$26,(COLUMN()-2),2*($D$45-5)+1)),IF($D$45&lt;5,INDEX('Table 2'!$B$5:$K$13,(COLUMN()-2),2*$D$45+1),INDEX('Table 2'!$B$16:$K$24,(COLUMN()-2),2*($D$45-5)+1))))</f>
        <v>0.892</v>
      </c>
      <c r="K47">
        <f>IF(OR($D$45="",(COLUMN()-2)&gt;$C$45),"",IF($G$26=1,IF($D$45&lt;5,INDEX('Table 1'!$B$5:$K$14,(COLUMN()-2),2*$D$45+1),INDEX('Table 1'!$B$17:$K$26,(COLUMN()-2),2*($D$45-5)+1)),IF($D$45&lt;5,INDEX('Table 2'!$B$5:$K$13,(COLUMN()-2),2*$D$45+1),INDEX('Table 2'!$B$16:$K$24,(COLUMN()-2),2*($D$45-5)+1))))</f>
        <v>0.971</v>
      </c>
      <c r="L47">
        <f>IF(OR($D$45="",(COLUMN()-2)&gt;$C$45),"",IF($G$26=1,IF($D$45&lt;5,INDEX('Table 1'!$B$5:$K$14,(COLUMN()-2),2*$D$45+1),INDEX('Table 1'!$B$17:$K$26,(COLUMN()-2),2*($D$45-5)+1)),IF($D$45&lt;5,INDEX('Table 2'!$B$5:$K$13,(COLUMN()-2),2*$D$45+1),INDEX('Table 2'!$B$16:$K$24,(COLUMN()-2),2*($D$45-5)+1))))</f>
        <v>0.982</v>
      </c>
    </row>
    <row r="48" hidden="1">
      <c r="A48" s="129" t="inlineStr">
        <is>
          <t>Pairs from the table: trans.</t>
        </is>
      </c>
      <c r="C48">
        <f>IF(OR($D$45="",(COLUMN()-2)&gt;$C$45),"",IF($G$26=1,IF($D$45&lt;5,INDEX('Table 1'!$B$5:$K$14,(COLUMN()-2),2*$D$45+2),INDEX('Table 1'!$B$17:$K$26,(COLUMN()-2),2*($D$45-5)+2)),IF($D$45&lt;5,INDEX('Table 2'!$B$5:$K$13,(COLUMN()-2),2*$D$45+2),INDEX('Table 2'!$B$16:$K$24,(COLUMN()-2),2*($D$45-5)+2))))</f>
        <v>0.73</v>
      </c>
      <c r="D48">
        <f>IF(OR($D$45="",(COLUMN()-2)&gt;$C$45),"",IF($G$26=1,IF($D$45&lt;5,INDEX('Table 1'!$B$5:$K$14,(COLUMN()-2),2*$D$45+2),INDEX('Table 1'!$B$17:$K$26,(COLUMN()-2),2*($D$45-5)+2)),IF($D$45&lt;5,INDEX('Table 2'!$B$5:$K$13,(COLUMN()-2),2*$D$45+2),INDEX('Table 2'!$B$16:$K$24,(COLUMN()-2),2*($D$45-5)+2))))</f>
        <v>0.948</v>
      </c>
      <c r="E48">
        <f>IF(OR($D$45="",(COLUMN()-2)&gt;$C$45),"",IF($G$26=1,IF($D$45&lt;5,INDEX('Table 1'!$B$5:$K$14,(COLUMN()-2),2*$D$45+2),INDEX('Table 1'!$B$17:$K$26,(COLUMN()-2),2*($D$45-5)+2)),IF($D$45&lt;5,INDEX('Table 2'!$B$5:$K$13,(COLUMN()-2),2*$D$45+2),INDEX('Table 2'!$B$16:$K$24,(COLUMN()-2),2*($D$45-5)+2))))</f>
        <v>0.726</v>
      </c>
      <c r="F48">
        <f>IF(OR($D$45="",(COLUMN()-2)&gt;$C$45),"",IF($G$26=1,IF($D$45&lt;5,INDEX('Table 1'!$B$5:$K$14,(COLUMN()-2),2*$D$45+2),INDEX('Table 1'!$B$17:$K$26,(COLUMN()-2),2*($D$45-5)+2)),IF($D$45&lt;5,INDEX('Table 2'!$B$5:$K$13,(COLUMN()-2),2*$D$45+2),INDEX('Table 2'!$B$16:$K$24,(COLUMN()-2),2*($D$45-5)+2))))</f>
        <v>0.482</v>
      </c>
      <c r="G48">
        <f>IF(OR($D$45="",(COLUMN()-2)&gt;$C$45),"",IF($G$26=1,IF($D$45&lt;5,INDEX('Table 1'!$B$5:$K$14,(COLUMN()-2),2*$D$45+2),INDEX('Table 1'!$B$17:$K$26,(COLUMN()-2),2*($D$45-5)+2)),IF($D$45&lt;5,INDEX('Table 2'!$B$5:$K$13,(COLUMN()-2),2*$D$45+2),INDEX('Table 2'!$B$16:$K$24,(COLUMN()-2),2*($D$45-5)+2))))</f>
        <v>0.824</v>
      </c>
      <c r="H48">
        <f>IF(OR($D$45="",(COLUMN()-2)&gt;$C$45),"",IF($G$26=1,IF($D$45&lt;5,INDEX('Table 1'!$B$5:$K$14,(COLUMN()-2),2*$D$45+2),INDEX('Table 1'!$B$17:$K$26,(COLUMN()-2),2*($D$45-5)+2)),IF($D$45&lt;5,INDEX('Table 2'!$B$5:$K$13,(COLUMN()-2),2*$D$45+2),INDEX('Table 2'!$B$16:$K$24,(COLUMN()-2),2*($D$45-5)+2))))</f>
        <v>0.899</v>
      </c>
      <c r="I48">
        <f>IF(OR($D$45="",(COLUMN()-2)&gt;$C$45),"",IF($G$26=1,IF($D$45&lt;5,INDEX('Table 1'!$B$5:$K$14,(COLUMN()-2),2*$D$45+2),INDEX('Table 1'!$B$17:$K$26,(COLUMN()-2),2*($D$45-5)+2)),IF($D$45&lt;5,INDEX('Table 2'!$B$5:$K$13,(COLUMN()-2),2*$D$45+2),INDEX('Table 2'!$B$16:$K$24,(COLUMN()-2),2*($D$45-5)+2))))</f>
        <v>0.159</v>
      </c>
      <c r="J48">
        <f>IF(OR($D$45="",(COLUMN()-2)&gt;$C$45),"",IF($G$26=1,IF($D$45&lt;5,INDEX('Table 1'!$B$5:$K$14,(COLUMN()-2),2*$D$45+2),INDEX('Table 1'!$B$17:$K$26,(COLUMN()-2),2*($D$45-5)+2)),IF($D$45&lt;5,INDEX('Table 2'!$B$5:$K$13,(COLUMN()-2),2*$D$45+2),INDEX('Table 2'!$B$16:$K$24,(COLUMN()-2),2*($D$45-5)+2))))</f>
        <v>0.277</v>
      </c>
      <c r="K48">
        <f>IF(OR($D$45="",(COLUMN()-2)&gt;$C$45),"",IF($G$26=1,IF($D$45&lt;5,INDEX('Table 1'!$B$5:$K$14,(COLUMN()-2),2*$D$45+2),INDEX('Table 1'!$B$17:$K$26,(COLUMN()-2),2*($D$45-5)+2)),IF($D$45&lt;5,INDEX('Table 2'!$B$5:$K$13,(COLUMN()-2),2*$D$45+2),INDEX('Table 2'!$B$16:$K$24,(COLUMN()-2),2*($D$45-5)+2))))</f>
        <v>0.468</v>
      </c>
      <c r="L48">
        <f>IF(OR($D$45="",(COLUMN()-2)&gt;$C$45),"",IF($G$26=1,IF($D$45&lt;5,INDEX('Table 1'!$B$5:$K$14,(COLUMN()-2),2*$D$45+2),INDEX('Table 1'!$B$17:$K$26,(COLUMN()-2),2*($D$45-5)+2)),IF($D$45&lt;5,INDEX('Table 2'!$B$5:$K$13,(COLUMN()-2),2*$D$45+2),INDEX('Table 2'!$B$16:$K$24,(COLUMN()-2),2*($D$45-5)+2))))</f>
        <v>0.801</v>
      </c>
    </row>
    <row r="49" hidden="1">
      <c r="A49" s="129" t="inlineStr">
        <is>
          <t>Sort key</t>
        </is>
      </c>
      <c r="C49">
        <f>IF(C47="","",C47+(COLUMN()-2)/1000000)</f>
        <v>0.053001</v>
      </c>
      <c r="D49">
        <f>IF(D47="","",D47+(COLUMN()-2)/1000000)</f>
        <v>0.081002</v>
      </c>
      <c r="E49">
        <f>IF(E47="","",E47+(COLUMN()-2)/1000000)</f>
        <v>0.095003</v>
      </c>
      <c r="F49">
        <f>IF(F47="","",F47+(COLUMN()-2)/1000000)</f>
        <v>0.576004</v>
      </c>
      <c r="G49">
        <f>IF(G47="","",G47+(COLUMN()-2)/1000000)</f>
        <v>0.609005</v>
      </c>
      <c r="H49">
        <f>IF(H47="","",H47+(COLUMN()-2)/1000000)</f>
        <v>0.669006</v>
      </c>
      <c r="I49">
        <f>IF(I47="","",I47+(COLUMN()-2)/1000000)</f>
        <v>0.810007</v>
      </c>
      <c r="J49">
        <f>IF(J47="","",J47+(COLUMN()-2)/1000000)</f>
        <v>0.892008</v>
      </c>
      <c r="K49">
        <f>IF(K47="","",K47+(COLUMN()-2)/1000000)</f>
        <v>0.971009</v>
      </c>
      <c r="L49">
        <f>IF(L47="","",L47+(COLUMN()-2)/1000000)</f>
        <v>0.98201</v>
      </c>
    </row>
    <row r="50" hidden="1">
      <c r="A50" s="129" t="inlineStr">
        <is>
          <t>Sorted key</t>
        </is>
      </c>
      <c r="C50">
        <f>IF((COLUMN()-2)&gt;COUNT($C$49:$L$49),"",SMALL($C$49:$L$49,(COLUMN()-2)))</f>
        <v>0.053001</v>
      </c>
      <c r="D50">
        <f>IF((COLUMN()-2)&gt;COUNT($C$49:$L$49),"",SMALL($C$49:$L$49,(COLUMN()-2)))</f>
        <v>0.081002</v>
      </c>
      <c r="E50">
        <f>IF((COLUMN()-2)&gt;COUNT($C$49:$L$49),"",SMALL($C$49:$L$49,(COLUMN()-2)))</f>
        <v>0.095003</v>
      </c>
      <c r="F50">
        <f>IF((COLUMN()-2)&gt;COUNT($C$49:$L$49),"",SMALL($C$49:$L$49,(COLUMN()-2)))</f>
        <v>0.576004</v>
      </c>
      <c r="G50">
        <f>IF((COLUMN()-2)&gt;COUNT($C$49:$L$49),"",SMALL($C$49:$L$49,(COLUMN()-2)))</f>
        <v>0.609005</v>
      </c>
      <c r="H50">
        <f>IF((COLUMN()-2)&gt;COUNT($C$49:$L$49),"",SMALL($C$49:$L$49,(COLUMN()-2)))</f>
        <v>0.669006</v>
      </c>
      <c r="I50">
        <f>IF((COLUMN()-2)&gt;COUNT($C$49:$L$49),"",SMALL($C$49:$L$49,(COLUMN()-2)))</f>
        <v>0.810007</v>
      </c>
      <c r="J50">
        <f>IF((COLUMN()-2)&gt;COUNT($C$49:$L$49),"",SMALL($C$49:$L$49,(COLUMN()-2)))</f>
        <v>0.892008</v>
      </c>
      <c r="K50">
        <f>IF((COLUMN()-2)&gt;COUNT($C$49:$L$49),"",SMALL($C$49:$L$49,(COLUMN()-2)))</f>
        <v>0.971009</v>
      </c>
      <c r="L50">
        <f>IF((COLUMN()-2)&gt;COUNT($C$49:$L$49),"",SMALL($C$49:$L$49,(COLUMN()-2)))</f>
        <v>0.98201</v>
      </c>
    </row>
  </sheetData>
  <sheetProtection selectLockedCells="1" selectUnlockedCells="0" sheet="1" objects="1" insertRows="1" insertHyperlinks="1" autoFilter="1" scenarios="1" formatColumns="0" deleteColumns="1" insertColumns="1" pivotTables="1" deleteRows="1" formatCells="1" formatRows="0" sort="1"/>
  <mergeCells count="79">
    <mergeCell ref="D20:E20"/>
    <mergeCell ref="I14:L14"/>
    <mergeCell ref="F13:L13"/>
    <mergeCell ref="I1:L1"/>
    <mergeCell ref="F18:H18"/>
    <mergeCell ref="A11:E11"/>
    <mergeCell ref="F17:H17"/>
    <mergeCell ref="A21:L21"/>
    <mergeCell ref="A23:L23"/>
    <mergeCell ref="A27:B27"/>
    <mergeCell ref="A43:C43"/>
    <mergeCell ref="A3:H3"/>
    <mergeCell ref="H11:L11"/>
    <mergeCell ref="F14:H14"/>
    <mergeCell ref="I26:L26"/>
    <mergeCell ref="K42:L42"/>
    <mergeCell ref="I16:L16"/>
    <mergeCell ref="H12:L12"/>
    <mergeCell ref="I18:L18"/>
    <mergeCell ref="A28:B28"/>
    <mergeCell ref="F7:H7"/>
    <mergeCell ref="A30:B30"/>
    <mergeCell ref="I6:J6"/>
    <mergeCell ref="F10:G10"/>
    <mergeCell ref="A6:E6"/>
    <mergeCell ref="I7:J7"/>
    <mergeCell ref="A5:L5"/>
    <mergeCell ref="B16:E16"/>
    <mergeCell ref="I15:L15"/>
    <mergeCell ref="F41:J41"/>
    <mergeCell ref="A26:B26"/>
    <mergeCell ref="A12:E12"/>
    <mergeCell ref="K43:L43"/>
    <mergeCell ref="A2:H2"/>
    <mergeCell ref="A40:C40"/>
    <mergeCell ref="F9:G9"/>
    <mergeCell ref="A24:L24"/>
    <mergeCell ref="C26:E26"/>
    <mergeCell ref="K6:L6"/>
    <mergeCell ref="F15:H15"/>
    <mergeCell ref="B14:D14"/>
    <mergeCell ref="I17:L17"/>
    <mergeCell ref="A25:L25"/>
    <mergeCell ref="B15:E15"/>
    <mergeCell ref="F40:J40"/>
    <mergeCell ref="A42:C42"/>
    <mergeCell ref="A22:L22"/>
    <mergeCell ref="G20:I20"/>
    <mergeCell ref="K40:L40"/>
    <mergeCell ref="A18:E18"/>
    <mergeCell ref="F8:G8"/>
    <mergeCell ref="A32:B32"/>
    <mergeCell ref="B17:E17"/>
    <mergeCell ref="K7:L7"/>
    <mergeCell ref="F16:H16"/>
    <mergeCell ref="F6:H6"/>
    <mergeCell ref="B20:C20"/>
    <mergeCell ref="A13:E13"/>
    <mergeCell ref="H8:L8"/>
    <mergeCell ref="F11:G11"/>
    <mergeCell ref="A41:C41"/>
    <mergeCell ref="H10:L10"/>
    <mergeCell ref="D40:E40"/>
    <mergeCell ref="A1:H1"/>
    <mergeCell ref="H9:L9"/>
    <mergeCell ref="F12:G12"/>
    <mergeCell ref="A7:E7"/>
    <mergeCell ref="F42:J42"/>
    <mergeCell ref="D41:E41"/>
    <mergeCell ref="A19:L19"/>
    <mergeCell ref="D43:E43"/>
    <mergeCell ref="A8:E8"/>
    <mergeCell ref="A4:H4"/>
    <mergeCell ref="F43:J43"/>
    <mergeCell ref="A29:B29"/>
    <mergeCell ref="D42:E42"/>
    <mergeCell ref="A10:E10"/>
    <mergeCell ref="A31:B31"/>
    <mergeCell ref="A9:E9"/>
  </mergeCells>
  <conditionalFormatting sqref="E14">
    <cfRule type="containsText" priority="1" operator="containsText" dxfId="0" text="12 MO">
      <formula>NOT(ISERROR(SEARCH("12 MO",E14)))</formula>
    </cfRule>
  </conditionalFormatting>
  <conditionalFormatting sqref="I16">
    <cfRule type="containsText" priority="2" operator="containsText" dxfId="0" text="CHECK">
      <formula>NOT(ISERROR(SEARCH("CHECK",I16)))</formula>
    </cfRule>
  </conditionalFormatting>
  <conditionalFormatting sqref="F20">
    <cfRule type="containsText" priority="3" operator="containsText" dxfId="0" text="MAX">
      <formula>NOT(ISERROR(SEARCH("MAX",F20)))</formula>
    </cfRule>
  </conditionalFormatting>
  <conditionalFormatting sqref="L20">
    <cfRule type="cellIs" priority="4" operator="equal" dxfId="1">
      <formula>"PASS"</formula>
    </cfRule>
    <cfRule type="cellIs" priority="5" operator="equal" dxfId="0">
      <formula>"LOW"</formula>
    </cfRule>
    <cfRule type="cellIs" priority="6" operator="equal" dxfId="0">
      <formula>"HIGH"</formula>
    </cfRule>
  </conditionalFormatting>
  <conditionalFormatting sqref="C39:L39">
    <cfRule type="containsText" priority="7" operator="containsText" dxfId="0" text="RETEST">
      <formula>NOT(ISERROR(SEARCH("RETEST",C39)))</formula>
    </cfRule>
  </conditionalFormatting>
  <conditionalFormatting sqref="K43">
    <cfRule type="cellIs" priority="8" operator="greaterThanOrEqual" dxfId="1">
      <formula>$J$20</formula>
    </cfRule>
  </conditionalFormatting>
  <dataValidations count="22">
    <dataValidation sqref="A7:E7" showDropDown="0" showInputMessage="1" showErrorMessage="0" allowBlank="1" errorTitle="Project" error="Contract / EA, Co-Rte-PM and a description, one per line. Enter goes to the next line." promptTitle="Project" prompt="Contract / EA, Co-Rte-PM and a description, one per line. Enter goes to the next line." errorStyle="stop"/>
    <dataValidation sqref="K7:L7" showDropDown="0" showInputMessage="1" showErrorMessage="1" allowBlank="1" errorTitle="Date" error="Enter a date, e.g. 6/11/2026." promptTitle="Date" prompt="Test date, e.g. 6/11/2026." type="date" errorStyle="stop" operator="between">
      <formula1>DATE(1990,1,1)</formula1>
      <formula2>DATE(2100,12,31)</formula2>
    </dataValidation>
    <dataValidation sqref="H12:L12" showDropDown="0" showInputMessage="1" showErrorMessage="1" allowBlank="1" errorTitle="Lift Thickness, ft" error="Enter the thickness in feet, e.g. 0.18." promptTitle="Lift Thickness, ft" prompt="Compacted thickness in feet, e.g. 0.18. CT 375 applies to lifts of 0.10 ft or more." type="decimal" errorStyle="warning" operator="between">
      <formula1>0.05</formula1>
      <formula2>1</formula2>
    </dataValidation>
    <dataValidation sqref="B14:D14" showDropDown="0" showInputMessage="1" showErrorMessage="1" allowBlank="1" errorTitle="Date of Last Calibration" error="Enter a date, e.g. 12/5/2025." promptTitle="Date of Last Calibration" prompt="Must be within 12 months of the test date (CT 375 1B); shows &gt; 12 MO if not." type="date" errorStyle="stop" operator="between">
      <formula1>DATE(1990,1,1)</formula1>
      <formula2>DATE(2100,12,31)</formula2>
    </dataValidation>
    <dataValidation sqref="B16:E16" showDropDown="0" showInputMessage="1" showErrorMessage="1" allowBlank="1" errorTitle="(A) Standard Count" error="Enter the standard count as a whole number." promptTitle="(A) Standard Count" prompt="Today's 4-minute count on the reference block. Its last digit picks the random-number block." type="whole" errorStyle="stop" operator="between">
      <formula1>1</formula1>
      <formula2>999999</formula2>
    </dataValidation>
    <dataValidation sqref="I14:L14" showDropDown="0" showInputMessage="1" showErrorMessage="0" allowBlank="1" errorTitle="(B) Start Station" error="Type the station either way: 69859 or 698+59." promptTitle="(B) Start Station" prompt="Type the station either way: 69859 or 698+59." errorStyle="stop"/>
    <dataValidation sqref="I15:L15" showDropDown="0" showInputMessage="1" showErrorMessage="0" allowBlank="1" errorTitle="(C) Finish Station" error="Type the station either way: 69859 or 698+59." promptTitle="(C) Finish Station" prompt="Type the station either way: 69859 or 698+59." errorStyle="stop"/>
    <dataValidation sqref="I17:L17" showDropDown="0" showInputMessage="1" showErrorMessage="1" allowBlank="1" errorTitle="(E) Lane Width, ft" error="Enter the lane width in feet, e.g. 12." promptTitle="(E) Lane Width, ft" prompt="Width of the lane being tested, in feet." type="decimal" errorStyle="stop" operator="between">
      <formula1>2</formula1>
      <formula2>200</formula2>
    </dataValidation>
    <dataValidation sqref="I18:L18" showDropDown="0" showInputMessage="1" showErrorMessage="1" allowBlank="1" errorTitle="(F) TMD" error="Enter a density, e.g. 2.44." promptTitle="(F) TMD" prompt="Test maximum density for the test area, g/cc." type="decimal" errorStyle="stop" operator="between">
      <formula1>1</formula1>
      <formula2>3.5</formula2>
    </dataValidation>
    <dataValidation sqref="B20:C20" showDropDown="0" showInputMessage="1" showErrorMessage="1" allowBlank="1" errorTitle="Tons in the test area" error="Enter the tonnage as a number." promptTitle="Tons in the test area" prompt="Sets the number of test sites (CT 375 3A): 1 per 50 t or portion, at least 5, 10 for 451-500 t." type="decimal" errorStyle="stop" operator="between">
      <formula1>0.01</formula1>
      <formula2>1000000</formula2>
    </dataValidation>
    <dataValidation sqref="F20" showDropDown="0" showInputMessage="1" showErrorMessage="1" allowBlank="1" errorTitle="Test sites" error="Enter a whole number from 1 to 10." promptTitle="Test sites" prompt="From the tonnage (CT 375 3A). Type 1-10 to set it yourself." type="whole" errorStyle="stop" operator="between">
      <formula1>1</formula1>
      <formula2>10</formula2>
    </dataValidation>
    <dataValidation sqref="A21:L25" showDropDown="0" showInputMessage="1" showErrorMessage="0" allowBlank="1" errorTitle="Field Notes" error="One line per row: press Enter for the next line." promptTitle="Field Notes" prompt="One line per row: press Enter for the next line." errorStyle="stop"/>
    <dataValidation sqref="J20" showDropDown="0" showInputMessage="1" showErrorMessage="1" allowBlank="1" errorTitle="Spec. min. relative compaction" error="Enter a percentage, e.g. 95.0." promptTitle="Spec. min. relative compaction" prompt="The minimum relative compaction your contract requires, e.g. 95.0." type="decimal" errorStyle="stop" operator="between">
      <formula1>50</formula1>
      <formula2>100</formula2>
    </dataValidation>
    <dataValidation sqref="I26:L26" showDropDown="0" showInputMessage="1" showErrorMessage="1" allowBlank="1" errorTitle="Block #" error="The block is a single digit, 0 to 9." promptTitle="Block #" prompt="The last digit of the Standard Count (A). To use a different block, type 0-9." type="whole" errorStyle="stop" operator="between">
      <formula1>0</formula1>
      <formula2>9</formula2>
    </dataValidation>
    <dataValidation sqref="C37:L38" showDropDown="0" showInputMessage="1" showErrorMessage="1" allowBlank="1" errorTitle="Density, g/cc" error="Enter a density in g/cc, e.g. 2.36. (pcf / 62.43 = g/cc)" promptTitle="Density, g/cc" prompt="In g/cc to 0.01. a = first reading; b = after turning the gauge 180 degrees." type="decimal" errorStyle="stop" operator="between">
      <formula1>1</formula1>
      <formula2>3.5</formula2>
    </dataValidation>
    <dataValidation sqref="C33:L34" showDropDown="0" showInputMessage="1" showErrorMessage="1" allowBlank="1" errorTitle="(L) Nuclear Reading" error="Enter the count as a whole number." promptTitle="(L) Nuclear Reading" prompt="1-minute count in backscatter. a = first reading; b = after turning the gage 180 degrees." type="whole" errorStyle="stop" operator="between">
      <formula1>1</formula1>
      <formula2>999999</formula2>
    </dataValidation>
    <dataValidation sqref="D41:E41" showDropDown="0" showInputMessage="1" showErrorMessage="0" allowBlank="1" errorTitle="After Exclusions" error="Test strips only. Leave blank, or N/A, otherwise." promptTitle="After Exclusions" prompt="Test strips only. Leave blank, or N/A, otherwise." errorStyle="stop"/>
    <dataValidation sqref="D42:E42" showDropDown="0" showInputMessage="1" showErrorMessage="1" allowBlank="1" errorTitle="(P) Conversion Factor" error="Enter the conversion factor, e.g. 0.01." promptTitle="(P) Conversion Factor" prompt="From the test strip (CT 375 Part 2), in g/cc. Enter 0 if none applies." type="decimal" errorStyle="stop" operator="between">
      <formula1>-0.5</formula1>
      <formula2>0.5</formula2>
    </dataValidation>
    <dataValidation sqref="K40:L40" showDropDown="0" showInputMessage="1" showErrorMessage="1" allowBlank="1" errorTitle="(R) FTMD, g/cc" error="Enter a density, e.g. 2.43." promptTitle="(R) FTMD, g/cc" prompt="Field test maximum density, to 0.01 g/cc." type="decimal" errorStyle="stop" operator="between">
      <formula1>1</formula1>
      <formula2>3.5</formula2>
    </dataValidation>
    <dataValidation sqref="K41" showDropDown="0" showInputMessage="1" showErrorMessage="1" allowBlank="1" errorTitle="(S) Correlation Factor" error="Enter the factor, e.g. 1.016." promptTitle="(S) Correlation Factor" prompt="Average LTMD / average FTMD (CT 375 5G), e.g. 1.016. Its date goes in the next cell." type="decimal" errorStyle="stop" operator="between">
      <formula1>0.8</formula1>
      <formula2>1.2</formula2>
    </dataValidation>
    <dataValidation sqref="L41" showDropDown="0" showInputMessage="1" showErrorMessage="1" allowBlank="1" errorTitle="(S) Date" error="Enter a date." promptTitle="(S) Date" prompt="Date the correlation factor was set." type="date" errorStyle="stop" operator="between">
      <formula1>DATE(1990,1,1)</formula1>
      <formula2>DATE(2100,12,31)</formula2>
    </dataValidation>
    <dataValidation sqref="K42:L42" showDropDown="0" showInputMessage="1" showErrorMessage="1" allowBlank="1" errorTitle="(T) LTMD or Correlated FTMD" error="Enter a density, e.g. 2.47." promptTitle="(T) LTMD or Correlated FTMD" prompt="Calculated as R x S. Using a lab LTMD instead? Type it here." type="decimal" errorStyle="stop" operator="between">
      <formula1>1</formula1>
      <formula2>3.5</formula2>
    </dataValidation>
  </dataValidations>
  <printOptions horizontalCentered="1"/>
  <pageMargins left="0.4" right="0.4" top="0.4" bottom="0.4" header="0.2" footer="0.2"/>
  <pageSetup orientation="portrait" paperSize="1" fitToHeight="1" fitToWidth="1"/>
  <ignoredErrors>
    <ignoredError sqref="A1:L80" unlockedFormula="1" formula="1" formulaRange="1" numberStoredAsText="1" emptyCellReference="1" evalError="1"/>
  </ignoredErrors>
</worksheet>
</file>

<file path=xl/worksheets/sheet6.xml><?xml version="1.0" encoding="utf-8"?>
<worksheet xmlns="http://schemas.openxmlformats.org/spreadsheetml/2006/main">
  <sheetPr>
    <outlinePr summaryBelow="1" summaryRight="1"/>
    <pageSetUpPr fitToPage="1"/>
  </sheetPr>
  <dimension ref="B1:K33"/>
  <sheetViews>
    <sheetView showGridLines="0" workbookViewId="0">
      <selection activeCell="A1" sqref="A1"/>
    </sheetView>
  </sheetViews>
  <sheetFormatPr baseColWidth="8" defaultRowHeight="15"/>
  <cols>
    <col width="3"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s>
  <sheetData>
    <row r="1" ht="22" customHeight="1">
      <c r="B1" s="145" t="inlineStr">
        <is>
          <t>TABLE 1.  Sequential Random Numbers</t>
        </is>
      </c>
    </row>
    <row r="2" ht="25" customHeight="1">
      <c r="B2" s="146" t="inlineStr">
        <is>
          <t>California Test 375 (Feb 2012). Used when ten test sites are required. Each set of ten is already in stationing order. The block in use shows on each form as Table # and Block #.</t>
        </is>
      </c>
      <c r="C2" s="3" t="n"/>
      <c r="D2" s="3" t="n"/>
      <c r="E2" s="3" t="n"/>
      <c r="F2" s="3" t="n"/>
      <c r="G2" s="3" t="n"/>
      <c r="H2" s="3" t="n"/>
      <c r="I2" s="3" t="n"/>
      <c r="J2" s="3" t="n"/>
      <c r="K2" s="4" t="n"/>
    </row>
    <row r="3">
      <c r="B3" s="147" t="inlineStr">
        <is>
          <t>Block 0</t>
        </is>
      </c>
      <c r="C3" s="32" t="n"/>
      <c r="D3" s="147" t="inlineStr">
        <is>
          <t>Block 1</t>
        </is>
      </c>
      <c r="E3" s="32" t="n"/>
      <c r="F3" s="147" t="inlineStr">
        <is>
          <t>Block 2</t>
        </is>
      </c>
      <c r="G3" s="32" t="n"/>
      <c r="H3" s="147" t="inlineStr">
        <is>
          <t>Block 3</t>
        </is>
      </c>
      <c r="I3" s="32" t="n"/>
      <c r="J3" s="147" t="inlineStr">
        <is>
          <t>Block 4</t>
        </is>
      </c>
      <c r="K3" s="32" t="n"/>
    </row>
    <row r="4">
      <c r="B4" s="148" t="inlineStr">
        <is>
          <t>Longit.</t>
        </is>
      </c>
      <c r="C4" s="149" t="inlineStr">
        <is>
          <t>Trans.</t>
        </is>
      </c>
      <c r="D4" s="148" t="inlineStr">
        <is>
          <t>Longit.</t>
        </is>
      </c>
      <c r="E4" s="149" t="inlineStr">
        <is>
          <t>Trans.</t>
        </is>
      </c>
      <c r="F4" s="148" t="inlineStr">
        <is>
          <t>Longit.</t>
        </is>
      </c>
      <c r="G4" s="149" t="inlineStr">
        <is>
          <t>Trans.</t>
        </is>
      </c>
      <c r="H4" s="148" t="inlineStr">
        <is>
          <t>Longit.</t>
        </is>
      </c>
      <c r="I4" s="149" t="inlineStr">
        <is>
          <t>Trans.</t>
        </is>
      </c>
      <c r="J4" s="148" t="inlineStr">
        <is>
          <t>Longit.</t>
        </is>
      </c>
      <c r="K4" s="149" t="inlineStr">
        <is>
          <t>Trans.</t>
        </is>
      </c>
    </row>
    <row r="5">
      <c r="B5" s="150" t="n">
        <v>0.053</v>
      </c>
      <c r="C5" s="151" t="n">
        <v>0.73</v>
      </c>
      <c r="D5" s="150" t="n">
        <v>0.035</v>
      </c>
      <c r="E5" s="151" t="n">
        <v>0.627</v>
      </c>
      <c r="F5" s="150" t="n">
        <v>0.231</v>
      </c>
      <c r="G5" s="151" t="n">
        <v>0.87</v>
      </c>
      <c r="H5" s="150" t="n">
        <v>0.081</v>
      </c>
      <c r="I5" s="151" t="n">
        <v>0.137</v>
      </c>
      <c r="J5" s="150" t="n">
        <v>0.106</v>
      </c>
      <c r="K5" s="151" t="n">
        <v>0.239</v>
      </c>
    </row>
    <row r="6">
      <c r="B6" s="150" t="n">
        <v>0.081</v>
      </c>
      <c r="C6" s="151" t="n">
        <v>0.948</v>
      </c>
      <c r="D6" s="150" t="n">
        <v>0.137</v>
      </c>
      <c r="E6" s="151" t="n">
        <v>0.163</v>
      </c>
      <c r="F6" s="150" t="n">
        <v>0.251</v>
      </c>
      <c r="G6" s="151" t="n">
        <v>0.114</v>
      </c>
      <c r="H6" s="150" t="n">
        <v>0.285</v>
      </c>
      <c r="I6" s="151" t="n">
        <v>0.542</v>
      </c>
      <c r="J6" s="150" t="n">
        <v>0.231</v>
      </c>
      <c r="K6" s="151" t="n">
        <v>0.291</v>
      </c>
    </row>
    <row r="7">
      <c r="B7" s="150" t="n">
        <v>0.095</v>
      </c>
      <c r="C7" s="151" t="n">
        <v>0.726</v>
      </c>
      <c r="D7" s="150" t="n">
        <v>0.164</v>
      </c>
      <c r="E7" s="151" t="n">
        <v>0.093</v>
      </c>
      <c r="F7" s="150" t="n">
        <v>0.271</v>
      </c>
      <c r="G7" s="151" t="n">
        <v>0.505</v>
      </c>
      <c r="H7" s="150" t="n">
        <v>0.324</v>
      </c>
      <c r="I7" s="151" t="n">
        <v>0.538</v>
      </c>
      <c r="J7" s="150" t="n">
        <v>0.253</v>
      </c>
      <c r="K7" s="151" t="n">
        <v>0.858</v>
      </c>
    </row>
    <row r="8">
      <c r="B8" s="150" t="n">
        <v>0.576</v>
      </c>
      <c r="C8" s="151" t="n">
        <v>0.482</v>
      </c>
      <c r="D8" s="150" t="n">
        <v>0.225</v>
      </c>
      <c r="E8" s="151" t="n">
        <v>0.921</v>
      </c>
      <c r="F8" s="150" t="n">
        <v>0.396</v>
      </c>
      <c r="G8" s="151" t="n">
        <v>0.125</v>
      </c>
      <c r="H8" s="150" t="n">
        <v>0.47</v>
      </c>
      <c r="I8" s="151" t="n">
        <v>0.414</v>
      </c>
      <c r="J8" s="150" t="n">
        <v>0.398</v>
      </c>
      <c r="K8" s="151" t="n">
        <v>0.761</v>
      </c>
    </row>
    <row r="9">
      <c r="B9" s="150" t="n">
        <v>0.609</v>
      </c>
      <c r="C9" s="151" t="n">
        <v>0.824</v>
      </c>
      <c r="D9" s="150" t="n">
        <v>0.334</v>
      </c>
      <c r="E9" s="151" t="n">
        <v>0.417</v>
      </c>
      <c r="F9" s="150" t="n">
        <v>0.427</v>
      </c>
      <c r="G9" s="151" t="n">
        <v>0.392</v>
      </c>
      <c r="H9" s="150" t="n">
        <v>0.522</v>
      </c>
      <c r="I9" s="151" t="n">
        <v>0.235</v>
      </c>
      <c r="J9" s="150" t="n">
        <v>0.517</v>
      </c>
      <c r="K9" s="151" t="n">
        <v>0.463</v>
      </c>
    </row>
    <row r="10">
      <c r="B10" s="150" t="n">
        <v>0.669</v>
      </c>
      <c r="C10" s="151" t="n">
        <v>0.899</v>
      </c>
      <c r="D10" s="150" t="n">
        <v>0.356</v>
      </c>
      <c r="E10" s="151" t="n">
        <v>0.85</v>
      </c>
      <c r="F10" s="150" t="n">
        <v>0.549</v>
      </c>
      <c r="G10" s="151" t="n">
        <v>0.76</v>
      </c>
      <c r="H10" s="150" t="n">
        <v>0.569</v>
      </c>
      <c r="I10" s="151" t="n">
        <v>0.608</v>
      </c>
      <c r="J10" s="150" t="n">
        <v>0.64</v>
      </c>
      <c r="K10" s="151" t="n">
        <v>0.993</v>
      </c>
    </row>
    <row r="11">
      <c r="B11" s="150" t="n">
        <v>0.8100000000000001</v>
      </c>
      <c r="C11" s="151" t="n">
        <v>0.159</v>
      </c>
      <c r="D11" s="150" t="n">
        <v>0.434</v>
      </c>
      <c r="E11" s="151" t="n">
        <v>0.838</v>
      </c>
      <c r="F11" s="150" t="n">
        <v>0.6899999999999999</v>
      </c>
      <c r="G11" s="151" t="n">
        <v>0.405</v>
      </c>
      <c r="H11" s="150" t="n">
        <v>0.579</v>
      </c>
      <c r="I11" s="151" t="n">
        <v>0.977</v>
      </c>
      <c r="J11" s="150" t="n">
        <v>0.749</v>
      </c>
      <c r="K11" s="151" t="n">
        <v>0.919</v>
      </c>
    </row>
    <row r="12">
      <c r="B12" s="150" t="n">
        <v>0.892</v>
      </c>
      <c r="C12" s="151" t="n">
        <v>0.277</v>
      </c>
      <c r="D12" s="150" t="n">
        <v>0.554</v>
      </c>
      <c r="E12" s="151" t="n">
        <v>0.375</v>
      </c>
      <c r="F12" s="150" t="n">
        <v>0.86</v>
      </c>
      <c r="G12" s="151" t="n">
        <v>0.507</v>
      </c>
      <c r="H12" s="150" t="n">
        <v>0.751</v>
      </c>
      <c r="I12" s="151" t="n">
        <v>0.592</v>
      </c>
      <c r="J12" s="150" t="n">
        <v>0.904</v>
      </c>
      <c r="K12" s="151" t="n">
        <v>0.501</v>
      </c>
    </row>
    <row r="13">
      <c r="B13" s="150" t="n">
        <v>0.971</v>
      </c>
      <c r="C13" s="151" t="n">
        <v>0.468</v>
      </c>
      <c r="D13" s="150" t="n">
        <v>0.576</v>
      </c>
      <c r="E13" s="151" t="n">
        <v>0.155</v>
      </c>
      <c r="F13" s="150" t="n">
        <v>0.9350000000000001</v>
      </c>
      <c r="G13" s="151" t="n">
        <v>0.806</v>
      </c>
      <c r="H13" s="150" t="n">
        <v>0.8149999999999999</v>
      </c>
      <c r="I13" s="151" t="n">
        <v>0.787</v>
      </c>
      <c r="J13" s="150" t="n">
        <v>0.986</v>
      </c>
      <c r="K13" s="151" t="n">
        <v>0.131</v>
      </c>
    </row>
    <row r="14">
      <c r="B14" s="152" t="n">
        <v>0.982</v>
      </c>
      <c r="C14" s="153" t="n">
        <v>0.801</v>
      </c>
      <c r="D14" s="152" t="n">
        <v>0.794</v>
      </c>
      <c r="E14" s="153" t="n">
        <v>0.638</v>
      </c>
      <c r="F14" s="152" t="n">
        <v>0.997</v>
      </c>
      <c r="G14" s="153" t="n">
        <v>0.884</v>
      </c>
      <c r="H14" s="152" t="n">
        <v>0.879</v>
      </c>
      <c r="I14" s="153" t="n">
        <v>0.871</v>
      </c>
      <c r="J14" s="152" t="n">
        <v>0.998</v>
      </c>
      <c r="K14" s="153" t="n">
        <v>0.222</v>
      </c>
    </row>
    <row r="15">
      <c r="B15" s="147" t="inlineStr">
        <is>
          <t>Block 5</t>
        </is>
      </c>
      <c r="C15" s="32" t="n"/>
      <c r="D15" s="147" t="inlineStr">
        <is>
          <t>Block 6</t>
        </is>
      </c>
      <c r="E15" s="32" t="n"/>
      <c r="F15" s="147" t="inlineStr">
        <is>
          <t>Block 7</t>
        </is>
      </c>
      <c r="G15" s="32" t="n"/>
      <c r="H15" s="147" t="inlineStr">
        <is>
          <t>Block 8</t>
        </is>
      </c>
      <c r="I15" s="32" t="n"/>
      <c r="J15" s="147" t="inlineStr">
        <is>
          <t>Block 9</t>
        </is>
      </c>
      <c r="K15" s="32" t="n"/>
    </row>
    <row r="16">
      <c r="B16" s="148" t="inlineStr">
        <is>
          <t>Longit.</t>
        </is>
      </c>
      <c r="C16" s="149" t="inlineStr">
        <is>
          <t>Trans.</t>
        </is>
      </c>
      <c r="D16" s="148" t="inlineStr">
        <is>
          <t>Longit.</t>
        </is>
      </c>
      <c r="E16" s="149" t="inlineStr">
        <is>
          <t>Trans.</t>
        </is>
      </c>
      <c r="F16" s="148" t="inlineStr">
        <is>
          <t>Longit.</t>
        </is>
      </c>
      <c r="G16" s="149" t="inlineStr">
        <is>
          <t>Trans.</t>
        </is>
      </c>
      <c r="H16" s="148" t="inlineStr">
        <is>
          <t>Longit.</t>
        </is>
      </c>
      <c r="I16" s="149" t="inlineStr">
        <is>
          <t>Trans.</t>
        </is>
      </c>
      <c r="J16" s="148" t="inlineStr">
        <is>
          <t>Longit.</t>
        </is>
      </c>
      <c r="K16" s="149" t="inlineStr">
        <is>
          <t>Trans.</t>
        </is>
      </c>
    </row>
    <row r="17">
      <c r="B17" s="150" t="n">
        <v>0.068</v>
      </c>
      <c r="C17" s="151" t="n">
        <v>0.095</v>
      </c>
      <c r="D17" s="150" t="n">
        <v>0.109</v>
      </c>
      <c r="E17" s="151" t="n">
        <v>0.548</v>
      </c>
      <c r="F17" s="150" t="n">
        <v>0.021</v>
      </c>
      <c r="G17" s="151" t="n">
        <v>0.887</v>
      </c>
      <c r="H17" s="150" t="n">
        <v>0.1</v>
      </c>
      <c r="I17" s="151" t="n">
        <v>0.472</v>
      </c>
      <c r="J17" s="150" t="n">
        <v>0.335</v>
      </c>
      <c r="K17" s="151" t="n">
        <v>0.6830000000000001</v>
      </c>
    </row>
    <row r="18">
      <c r="B18" s="150" t="n">
        <v>0.165</v>
      </c>
      <c r="C18" s="151" t="n">
        <v>0.459</v>
      </c>
      <c r="D18" s="150" t="n">
        <v>0.127</v>
      </c>
      <c r="E18" s="151" t="n">
        <v>0.964</v>
      </c>
      <c r="F18" s="150" t="n">
        <v>0.15</v>
      </c>
      <c r="G18" s="151" t="n">
        <v>0.169</v>
      </c>
      <c r="H18" s="150" t="n">
        <v>0.123</v>
      </c>
      <c r="I18" s="151" t="n">
        <v>0.08599999999999999</v>
      </c>
      <c r="J18" s="150" t="n">
        <v>0.348</v>
      </c>
      <c r="K18" s="151" t="n">
        <v>0.996</v>
      </c>
    </row>
    <row r="19">
      <c r="B19" s="150" t="n">
        <v>0.371</v>
      </c>
      <c r="C19" s="151" t="n">
        <v>0.996</v>
      </c>
      <c r="D19" s="150" t="n">
        <v>0.209</v>
      </c>
      <c r="E19" s="151" t="n">
        <v>0.064</v>
      </c>
      <c r="F19" s="150" t="n">
        <v>0.159</v>
      </c>
      <c r="G19" s="151" t="n">
        <v>0.979</v>
      </c>
      <c r="H19" s="150" t="n">
        <v>0.396</v>
      </c>
      <c r="I19" s="151" t="n">
        <v>0.355</v>
      </c>
      <c r="J19" s="150" t="n">
        <v>0.358</v>
      </c>
      <c r="K19" s="151" t="n">
        <v>0.743</v>
      </c>
    </row>
    <row r="20">
      <c r="B20" s="150" t="n">
        <v>0.47</v>
      </c>
      <c r="C20" s="151" t="n">
        <v>0.535</v>
      </c>
      <c r="D20" s="150" t="n">
        <v>0.412</v>
      </c>
      <c r="E20" s="151" t="n">
        <v>0.356</v>
      </c>
      <c r="F20" s="150" t="n">
        <v>0.289</v>
      </c>
      <c r="G20" s="151" t="n">
        <v>0.187</v>
      </c>
      <c r="H20" s="150" t="n">
        <v>0.423</v>
      </c>
      <c r="I20" s="151" t="n">
        <v>0.46</v>
      </c>
      <c r="J20" s="150" t="n">
        <v>0.601</v>
      </c>
      <c r="K20" s="151" t="n">
        <v>0.595</v>
      </c>
    </row>
    <row r="21">
      <c r="B21" s="150" t="n">
        <v>0.477</v>
      </c>
      <c r="C21" s="151" t="n">
        <v>0.101</v>
      </c>
      <c r="D21" s="150" t="n">
        <v>0.587</v>
      </c>
      <c r="E21" s="151" t="n">
        <v>0.284</v>
      </c>
      <c r="F21" s="150" t="n">
        <v>0.448</v>
      </c>
      <c r="G21" s="151" t="n">
        <v>0.894</v>
      </c>
      <c r="H21" s="150" t="n">
        <v>0.673</v>
      </c>
      <c r="I21" s="151" t="n">
        <v>0.652</v>
      </c>
      <c r="J21" s="150" t="n">
        <v>0.698</v>
      </c>
      <c r="K21" s="151" t="n">
        <v>0.539</v>
      </c>
    </row>
    <row r="22">
      <c r="B22" s="150" t="n">
        <v>0.509</v>
      </c>
      <c r="C22" s="151" t="n">
        <v>0.8149999999999999</v>
      </c>
      <c r="D22" s="150" t="n">
        <v>0.622</v>
      </c>
      <c r="E22" s="151" t="n">
        <v>0.862</v>
      </c>
      <c r="F22" s="150" t="n">
        <v>0.654</v>
      </c>
      <c r="G22" s="151" t="n">
        <v>0.169</v>
      </c>
      <c r="H22" s="150" t="n">
        <v>0.8169999999999999</v>
      </c>
      <c r="I22" s="151" t="n">
        <v>0.259</v>
      </c>
      <c r="J22" s="150" t="n">
        <v>0.74</v>
      </c>
      <c r="K22" s="151" t="n">
        <v>0.466</v>
      </c>
    </row>
    <row r="23">
      <c r="B23" s="150" t="n">
        <v>0.5659999999999999</v>
      </c>
      <c r="C23" s="151" t="n">
        <v>0.342</v>
      </c>
      <c r="D23" s="150" t="n">
        <v>0.667</v>
      </c>
      <c r="E23" s="151" t="n">
        <v>0.843</v>
      </c>
      <c r="F23" s="150" t="n">
        <v>0.767</v>
      </c>
      <c r="G23" s="151" t="n">
        <v>0.985</v>
      </c>
      <c r="H23" s="150" t="n">
        <v>0.833</v>
      </c>
      <c r="I23" s="151" t="n">
        <v>0.317</v>
      </c>
      <c r="J23" s="150" t="n">
        <v>0.796</v>
      </c>
      <c r="K23" s="151" t="n">
        <v>0.212</v>
      </c>
    </row>
    <row r="24">
      <c r="B24" s="150" t="n">
        <v>0.788</v>
      </c>
      <c r="C24" s="151" t="n">
        <v>0.6820000000000001</v>
      </c>
      <c r="D24" s="150" t="n">
        <v>0.757</v>
      </c>
      <c r="E24" s="151" t="n">
        <v>0.283</v>
      </c>
      <c r="F24" s="150" t="n">
        <v>0.919</v>
      </c>
      <c r="G24" s="151" t="n">
        <v>0.962</v>
      </c>
      <c r="H24" s="150" t="n">
        <v>0.89</v>
      </c>
      <c r="I24" s="151" t="n">
        <v>0.665</v>
      </c>
      <c r="J24" s="150" t="n">
        <v>0.864</v>
      </c>
      <c r="K24" s="151" t="n">
        <v>0.06900000000000001</v>
      </c>
    </row>
    <row r="25">
      <c r="B25" s="150" t="n">
        <v>0.874</v>
      </c>
      <c r="C25" s="151" t="n">
        <v>0.242</v>
      </c>
      <c r="D25" s="150" t="n">
        <v>0.831</v>
      </c>
      <c r="E25" s="151" t="n">
        <v>0.908</v>
      </c>
      <c r="F25" s="150" t="n">
        <v>0.9419999999999999</v>
      </c>
      <c r="G25" s="151" t="n">
        <v>0.313</v>
      </c>
      <c r="H25" s="150" t="n">
        <v>0.925</v>
      </c>
      <c r="I25" s="151" t="n">
        <v>0.404</v>
      </c>
      <c r="J25" s="150" t="n">
        <v>0.896</v>
      </c>
      <c r="K25" s="151" t="n">
        <v>0.247</v>
      </c>
    </row>
    <row r="26">
      <c r="B26" s="152" t="n">
        <v>0.901</v>
      </c>
      <c r="C26" s="153" t="n">
        <v>0.42</v>
      </c>
      <c r="D26" s="152" t="n">
        <v>0.873</v>
      </c>
      <c r="E26" s="153" t="n">
        <v>0.218</v>
      </c>
      <c r="F26" s="152" t="n">
        <v>0.947</v>
      </c>
      <c r="G26" s="153" t="n">
        <v>0.215</v>
      </c>
      <c r="H26" s="152" t="n">
        <v>0.928</v>
      </c>
      <c r="I26" s="153" t="n">
        <v>0.305</v>
      </c>
      <c r="J26" s="152" t="n">
        <v>0.909</v>
      </c>
      <c r="K26" s="153" t="n">
        <v>0.326</v>
      </c>
    </row>
    <row r="28">
      <c r="B28" s="154" t="inlineStr">
        <is>
          <t>INSTRUCTIONS</t>
        </is>
      </c>
    </row>
    <row r="29" ht="27" customHeight="1">
      <c r="B29" s="146" t="inlineStr">
        <is>
          <t>1. Begin with the numbers at the top of each column; use each successive pair of numbers to determine the longitudinal and transverse distance to each test site.</t>
        </is>
      </c>
      <c r="C29" s="3" t="n"/>
      <c r="D29" s="3" t="n"/>
      <c r="E29" s="3" t="n"/>
      <c r="F29" s="3" t="n"/>
      <c r="G29" s="3" t="n"/>
      <c r="H29" s="3" t="n"/>
      <c r="I29" s="3" t="n"/>
      <c r="J29" s="3" t="n"/>
      <c r="K29" s="4" t="n"/>
    </row>
    <row r="30" ht="27" customHeight="1">
      <c r="B30" s="146" t="inlineStr">
        <is>
          <t>2. Arrange the pairs in sequential order based on the longitudinal location. Record the paired numbers on Lines G and H of Form TL-3112.</t>
        </is>
      </c>
      <c r="C30" s="3" t="n"/>
      <c r="D30" s="3" t="n"/>
      <c r="E30" s="3" t="n"/>
      <c r="F30" s="3" t="n"/>
      <c r="G30" s="3" t="n"/>
      <c r="H30" s="3" t="n"/>
      <c r="I30" s="3" t="n"/>
      <c r="J30" s="3" t="n"/>
      <c r="K30" s="4" t="n"/>
    </row>
    <row r="31" ht="39" customHeight="1">
      <c r="B31" s="146" t="inlineStr">
        <is>
          <t>3. To determine the longitudinal distance from the start station on Line B, multiply the numbers on Line G by the length of the pavement on Line D. Round the product up to the next whole number and record on Line I. To determine the station of a test site, add the distance on Line I to the start station on Line B and record the result on Line J.</t>
        </is>
      </c>
      <c r="C31" s="3" t="n"/>
      <c r="D31" s="3" t="n"/>
      <c r="E31" s="3" t="n"/>
      <c r="F31" s="3" t="n"/>
      <c r="G31" s="3" t="n"/>
      <c r="H31" s="3" t="n"/>
      <c r="I31" s="3" t="n"/>
      <c r="J31" s="3" t="n"/>
      <c r="K31" s="4" t="n"/>
    </row>
    <row r="32" ht="39" customHeight="1">
      <c r="B32" s="146" t="inlineStr">
        <is>
          <t>4. To determine the transverse distance from the edge of pavement, multiply the numbers on Line H by the width of the pavement on Line E. Round the product up to the next whole number and record on Line K. Any test site within 1 ft. of the pavement edge should be relocated to 1 ft. from the edge.</t>
        </is>
      </c>
      <c r="C32" s="3" t="n"/>
      <c r="D32" s="3" t="n"/>
      <c r="E32" s="3" t="n"/>
      <c r="F32" s="3" t="n"/>
      <c r="G32" s="3" t="n"/>
      <c r="H32" s="3" t="n"/>
      <c r="I32" s="3" t="n"/>
      <c r="J32" s="3" t="n"/>
      <c r="K32" s="4" t="n"/>
    </row>
    <row r="33" ht="15" customHeight="1">
      <c r="B33" s="146" t="inlineStr">
        <is>
          <t>5. Reference all test sites to identifiable locations; e.g., edge of pavement, stationing, centerline, etc.</t>
        </is>
      </c>
      <c r="C33" s="3" t="n"/>
      <c r="D33" s="3" t="n"/>
      <c r="E33" s="3" t="n"/>
      <c r="F33" s="3" t="n"/>
      <c r="G33" s="3" t="n"/>
      <c r="H33" s="3" t="n"/>
      <c r="I33" s="3" t="n"/>
      <c r="J33" s="3" t="n"/>
      <c r="K33" s="4" t="n"/>
    </row>
  </sheetData>
  <sheetProtection selectLockedCells="0" selectUnlockedCells="0" sheet="1" objects="1" insertRows="1" insertHyperlinks="1" autoFilter="1" scenarios="1" formatColumns="0" deleteColumns="1" insertColumns="1" pivotTables="1" deleteRows="1" formatCells="1" formatRows="0" sort="1"/>
  <mergeCells count="16">
    <mergeCell ref="F3:G3"/>
    <mergeCell ref="J3:K3"/>
    <mergeCell ref="B31:K31"/>
    <mergeCell ref="B15:C15"/>
    <mergeCell ref="B32:K32"/>
    <mergeCell ref="F15:G15"/>
    <mergeCell ref="D15:E15"/>
    <mergeCell ref="B3:C3"/>
    <mergeCell ref="J15:K15"/>
    <mergeCell ref="H15:I15"/>
    <mergeCell ref="B30:K30"/>
    <mergeCell ref="B33:K33"/>
    <mergeCell ref="B29:K29"/>
    <mergeCell ref="B2:K2"/>
    <mergeCell ref="D3:E3"/>
    <mergeCell ref="H3:I3"/>
  </mergeCells>
  <printOptions horizontalCentered="1"/>
  <pageMargins left="0.75" right="0.75" top="1" bottom="1" header="0.5" footer="0.5"/>
  <pageSetup orientation="portrait" paperSize="1" fitToHeight="1" fitToWidth="1"/>
  <ignoredErrors>
    <ignoredError sqref="A1:L80" unlockedFormula="1" formula="1" formulaRange="1" numberStoredAsText="1" emptyCellReference="1" evalError="1"/>
  </ignoredErrors>
</worksheet>
</file>

<file path=xl/worksheets/sheet7.xml><?xml version="1.0" encoding="utf-8"?>
<worksheet xmlns="http://schemas.openxmlformats.org/spreadsheetml/2006/main">
  <sheetPr>
    <outlinePr summaryBelow="1" summaryRight="1"/>
    <pageSetUpPr fitToPage="1"/>
  </sheetPr>
  <dimension ref="B1:K31"/>
  <sheetViews>
    <sheetView showGridLines="0" workbookViewId="0">
      <selection activeCell="A1" sqref="A1"/>
    </sheetView>
  </sheetViews>
  <sheetFormatPr baseColWidth="8" defaultRowHeight="15"/>
  <cols>
    <col width="3"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s>
  <sheetData>
    <row r="1" ht="22" customHeight="1">
      <c r="B1" s="145" t="inlineStr">
        <is>
          <t>TABLE 2.  Table of Random Numbers</t>
        </is>
      </c>
    </row>
    <row r="2" ht="25" customHeight="1">
      <c r="B2" s="146" t="inlineStr">
        <is>
          <t>California Test 375 (Feb 2012). Used when fewer than ten test sites are required; each block gives up to nine pairs. The block in use shows on each form as Table # and Block #.</t>
        </is>
      </c>
      <c r="C2" s="3" t="n"/>
      <c r="D2" s="3" t="n"/>
      <c r="E2" s="3" t="n"/>
      <c r="F2" s="3" t="n"/>
      <c r="G2" s="3" t="n"/>
      <c r="H2" s="3" t="n"/>
      <c r="I2" s="3" t="n"/>
      <c r="J2" s="3" t="n"/>
      <c r="K2" s="4" t="n"/>
    </row>
    <row r="3">
      <c r="B3" s="147" t="inlineStr">
        <is>
          <t>Block 0</t>
        </is>
      </c>
      <c r="C3" s="32" t="n"/>
      <c r="D3" s="147" t="inlineStr">
        <is>
          <t>Block 1</t>
        </is>
      </c>
      <c r="E3" s="32" t="n"/>
      <c r="F3" s="147" t="inlineStr">
        <is>
          <t>Block 2</t>
        </is>
      </c>
      <c r="G3" s="32" t="n"/>
      <c r="H3" s="147" t="inlineStr">
        <is>
          <t>Block 3</t>
        </is>
      </c>
      <c r="I3" s="32" t="n"/>
      <c r="J3" s="147" t="inlineStr">
        <is>
          <t>Block 4</t>
        </is>
      </c>
      <c r="K3" s="32" t="n"/>
    </row>
    <row r="4">
      <c r="B4" s="148" t="inlineStr">
        <is>
          <t>Longit.</t>
        </is>
      </c>
      <c r="C4" s="149" t="inlineStr">
        <is>
          <t>Trans.</t>
        </is>
      </c>
      <c r="D4" s="148" t="inlineStr">
        <is>
          <t>Longit.</t>
        </is>
      </c>
      <c r="E4" s="149" t="inlineStr">
        <is>
          <t>Trans.</t>
        </is>
      </c>
      <c r="F4" s="148" t="inlineStr">
        <is>
          <t>Longit.</t>
        </is>
      </c>
      <c r="G4" s="149" t="inlineStr">
        <is>
          <t>Trans.</t>
        </is>
      </c>
      <c r="H4" s="148" t="inlineStr">
        <is>
          <t>Longit.</t>
        </is>
      </c>
      <c r="I4" s="149" t="inlineStr">
        <is>
          <t>Trans.</t>
        </is>
      </c>
      <c r="J4" s="148" t="inlineStr">
        <is>
          <t>Longit.</t>
        </is>
      </c>
      <c r="K4" s="149" t="inlineStr">
        <is>
          <t>Trans.</t>
        </is>
      </c>
    </row>
    <row r="5">
      <c r="B5" s="150" t="n">
        <v>0.576</v>
      </c>
      <c r="C5" s="151" t="n">
        <v>0.73</v>
      </c>
      <c r="D5" s="150" t="n">
        <v>0.43</v>
      </c>
      <c r="E5" s="151" t="n">
        <v>0.754</v>
      </c>
      <c r="F5" s="150" t="n">
        <v>0.271</v>
      </c>
      <c r="G5" s="151" t="n">
        <v>0.87</v>
      </c>
      <c r="H5" s="150" t="n">
        <v>0.732</v>
      </c>
      <c r="I5" s="151" t="n">
        <v>0.721</v>
      </c>
      <c r="J5" s="150" t="n">
        <v>0.998</v>
      </c>
      <c r="K5" s="151" t="n">
        <v>0.239</v>
      </c>
    </row>
    <row r="6">
      <c r="B6" s="150" t="n">
        <v>0.971</v>
      </c>
      <c r="C6" s="151" t="n">
        <v>0.824</v>
      </c>
      <c r="D6" s="150" t="n">
        <v>0.858</v>
      </c>
      <c r="E6" s="151" t="n">
        <v>0.125</v>
      </c>
      <c r="F6" s="150" t="n">
        <v>0.396</v>
      </c>
      <c r="G6" s="151" t="n">
        <v>0.095</v>
      </c>
      <c r="H6" s="150" t="n">
        <v>0.153</v>
      </c>
      <c r="I6" s="151" t="n">
        <v>0.508</v>
      </c>
      <c r="J6" s="150" t="n">
        <v>0.749</v>
      </c>
      <c r="K6" s="151" t="n">
        <v>0.291</v>
      </c>
    </row>
    <row r="7">
      <c r="B7" s="150" t="n">
        <v>0.8100000000000001</v>
      </c>
      <c r="C7" s="151" t="n">
        <v>0.159</v>
      </c>
      <c r="D7" s="150" t="n">
        <v>0.902</v>
      </c>
      <c r="E7" s="151" t="n">
        <v>0.47</v>
      </c>
      <c r="F7" s="150" t="n">
        <v>0.997</v>
      </c>
      <c r="G7" s="151" t="n">
        <v>0.392</v>
      </c>
      <c r="H7" s="150" t="n">
        <v>0.008999999999999999</v>
      </c>
      <c r="I7" s="151" t="n">
        <v>0.42</v>
      </c>
      <c r="J7" s="150" t="n">
        <v>0.517</v>
      </c>
      <c r="K7" s="151" t="n">
        <v>0.858</v>
      </c>
    </row>
    <row r="8">
      <c r="B8" s="150" t="n">
        <v>0.081</v>
      </c>
      <c r="C8" s="151" t="n">
        <v>0.277</v>
      </c>
      <c r="D8" s="150" t="n">
        <v>0.554</v>
      </c>
      <c r="E8" s="151" t="n">
        <v>0.627</v>
      </c>
      <c r="F8" s="150" t="n">
        <v>0.427</v>
      </c>
      <c r="G8" s="151" t="n">
        <v>0.76</v>
      </c>
      <c r="H8" s="150" t="n">
        <v>0.9370000000000001</v>
      </c>
      <c r="I8" s="151" t="n">
        <v>0.31</v>
      </c>
      <c r="J8" s="150" t="n">
        <v>0.253</v>
      </c>
      <c r="K8" s="151" t="n">
        <v>0.761</v>
      </c>
    </row>
    <row r="9">
      <c r="B9" s="150" t="n">
        <v>0.982</v>
      </c>
      <c r="C9" s="151" t="n">
        <v>0.468</v>
      </c>
      <c r="D9" s="150" t="n">
        <v>0.225</v>
      </c>
      <c r="E9" s="151" t="n">
        <v>0.163</v>
      </c>
      <c r="F9" s="150" t="n">
        <v>0.549</v>
      </c>
      <c r="G9" s="151" t="n">
        <v>0.405</v>
      </c>
      <c r="H9" s="150" t="n">
        <v>0.892</v>
      </c>
      <c r="I9" s="151" t="n">
        <v>0.957</v>
      </c>
      <c r="J9" s="150" t="n">
        <v>0.64</v>
      </c>
      <c r="K9" s="151" t="n">
        <v>0.463</v>
      </c>
    </row>
    <row r="10">
      <c r="B10" s="150" t="n">
        <v>0.371</v>
      </c>
      <c r="C10" s="151" t="n">
        <v>0.359</v>
      </c>
      <c r="D10" s="150" t="n">
        <v>0.035</v>
      </c>
      <c r="E10" s="151" t="n">
        <v>0.339</v>
      </c>
      <c r="F10" s="150" t="n">
        <v>0.86</v>
      </c>
      <c r="G10" s="151" t="n">
        <v>0.507</v>
      </c>
      <c r="H10" s="150" t="n">
        <v>0.47</v>
      </c>
      <c r="I10" s="151" t="n">
        <v>0.08</v>
      </c>
      <c r="J10" s="150" t="n">
        <v>0.106</v>
      </c>
      <c r="K10" s="151" t="n">
        <v>0.131</v>
      </c>
    </row>
    <row r="11">
      <c r="B11" s="150" t="n">
        <v>0.165</v>
      </c>
      <c r="C11" s="151" t="n">
        <v>0.996</v>
      </c>
      <c r="D11" s="150" t="n">
        <v>0.334</v>
      </c>
      <c r="E11" s="151" t="n">
        <v>0.921</v>
      </c>
      <c r="F11" s="150" t="n">
        <v>0.654</v>
      </c>
      <c r="G11" s="151" t="n">
        <v>0.979</v>
      </c>
      <c r="H11" s="150" t="n">
        <v>0.285</v>
      </c>
      <c r="I11" s="151" t="n">
        <v>0.542</v>
      </c>
      <c r="J11" s="150" t="n">
        <v>0.796</v>
      </c>
      <c r="K11" s="151" t="n">
        <v>0.996</v>
      </c>
    </row>
    <row r="12">
      <c r="B12" s="150" t="n">
        <v>0.477</v>
      </c>
      <c r="C12" s="151" t="n">
        <v>0.535</v>
      </c>
      <c r="D12" s="150" t="n">
        <v>0.794</v>
      </c>
      <c r="E12" s="151" t="n">
        <v>0.85</v>
      </c>
      <c r="F12" s="150" t="n">
        <v>0.767</v>
      </c>
      <c r="G12" s="151" t="n">
        <v>0.187</v>
      </c>
      <c r="H12" s="150" t="n">
        <v>0.081</v>
      </c>
      <c r="I12" s="151" t="n">
        <v>0.538</v>
      </c>
      <c r="J12" s="150" t="n">
        <v>0.358</v>
      </c>
      <c r="K12" s="151" t="n">
        <v>0.595</v>
      </c>
    </row>
    <row r="13">
      <c r="B13" s="152" t="n">
        <v>0.788</v>
      </c>
      <c r="C13" s="153" t="n">
        <v>0.101</v>
      </c>
      <c r="D13" s="152" t="n">
        <v>0.164</v>
      </c>
      <c r="E13" s="153" t="n">
        <v>0.838</v>
      </c>
      <c r="F13" s="152" t="n">
        <v>0.021</v>
      </c>
      <c r="G13" s="153" t="n">
        <v>0.894</v>
      </c>
      <c r="H13" s="152" t="n">
        <v>0.324</v>
      </c>
      <c r="I13" s="153" t="n">
        <v>0.871</v>
      </c>
      <c r="J13" s="152" t="n">
        <v>0.698</v>
      </c>
      <c r="K13" s="153" t="n">
        <v>0.539</v>
      </c>
    </row>
    <row r="14">
      <c r="B14" s="147" t="inlineStr">
        <is>
          <t>Block 5</t>
        </is>
      </c>
      <c r="C14" s="32" t="n"/>
      <c r="D14" s="147" t="inlineStr">
        <is>
          <t>Block 6</t>
        </is>
      </c>
      <c r="E14" s="32" t="n"/>
      <c r="F14" s="147" t="inlineStr">
        <is>
          <t>Block 7</t>
        </is>
      </c>
      <c r="G14" s="32" t="n"/>
      <c r="H14" s="147" t="inlineStr">
        <is>
          <t>Block 8</t>
        </is>
      </c>
      <c r="I14" s="32" t="n"/>
      <c r="J14" s="147" t="inlineStr">
        <is>
          <t>Block 9</t>
        </is>
      </c>
      <c r="K14" s="32" t="n"/>
    </row>
    <row r="15">
      <c r="B15" s="148" t="inlineStr">
        <is>
          <t>Longit.</t>
        </is>
      </c>
      <c r="C15" s="149" t="inlineStr">
        <is>
          <t>Trans.</t>
        </is>
      </c>
      <c r="D15" s="148" t="inlineStr">
        <is>
          <t>Longit.</t>
        </is>
      </c>
      <c r="E15" s="149" t="inlineStr">
        <is>
          <t>Trans.</t>
        </is>
      </c>
      <c r="F15" s="148" t="inlineStr">
        <is>
          <t>Longit.</t>
        </is>
      </c>
      <c r="G15" s="149" t="inlineStr">
        <is>
          <t>Trans.</t>
        </is>
      </c>
      <c r="H15" s="148" t="inlineStr">
        <is>
          <t>Longit.</t>
        </is>
      </c>
      <c r="I15" s="149" t="inlineStr">
        <is>
          <t>Trans.</t>
        </is>
      </c>
      <c r="J15" s="148" t="inlineStr">
        <is>
          <t>Longit.</t>
        </is>
      </c>
      <c r="K15" s="149" t="inlineStr">
        <is>
          <t>Trans.</t>
        </is>
      </c>
    </row>
    <row r="16">
      <c r="B16" s="150" t="n">
        <v>0.5659999999999999</v>
      </c>
      <c r="C16" s="151" t="n">
        <v>0.8149999999999999</v>
      </c>
      <c r="D16" s="150" t="n">
        <v>0.873</v>
      </c>
      <c r="E16" s="151" t="n">
        <v>0.964</v>
      </c>
      <c r="F16" s="150" t="n">
        <v>0.9419999999999999</v>
      </c>
      <c r="G16" s="151" t="n">
        <v>0.985</v>
      </c>
      <c r="H16" s="150" t="n">
        <v>0.123</v>
      </c>
      <c r="I16" s="151" t="n">
        <v>0.08599999999999999</v>
      </c>
      <c r="J16" s="150" t="n">
        <v>0.864</v>
      </c>
      <c r="K16" s="151" t="n">
        <v>0.466</v>
      </c>
    </row>
    <row r="17">
      <c r="B17" s="150" t="n">
        <v>0.901</v>
      </c>
      <c r="C17" s="151" t="n">
        <v>0.342</v>
      </c>
      <c r="D17" s="150" t="n">
        <v>0.412</v>
      </c>
      <c r="E17" s="151" t="n">
        <v>0.641</v>
      </c>
      <c r="F17" s="150" t="n">
        <v>0.195</v>
      </c>
      <c r="G17" s="151" t="n">
        <v>0.313</v>
      </c>
      <c r="H17" s="150" t="n">
        <v>0.396</v>
      </c>
      <c r="I17" s="151" t="n">
        <v>0.46</v>
      </c>
      <c r="J17" s="150" t="n">
        <v>0.335</v>
      </c>
      <c r="K17" s="151" t="n">
        <v>0.212</v>
      </c>
    </row>
    <row r="18">
      <c r="B18" s="150" t="n">
        <v>0.47</v>
      </c>
      <c r="C18" s="151" t="n">
        <v>0.6820000000000001</v>
      </c>
      <c r="D18" s="150" t="n">
        <v>0.667</v>
      </c>
      <c r="E18" s="151" t="n">
        <v>0.356</v>
      </c>
      <c r="F18" s="150" t="n">
        <v>0.428</v>
      </c>
      <c r="G18" s="151" t="n">
        <v>0.117</v>
      </c>
      <c r="H18" s="150" t="n">
        <v>0.833</v>
      </c>
      <c r="I18" s="151" t="n">
        <v>0.652</v>
      </c>
      <c r="J18" s="150" t="n">
        <v>0.909</v>
      </c>
      <c r="K18" s="151" t="n">
        <v>0.819</v>
      </c>
    </row>
    <row r="19">
      <c r="B19" s="150" t="n">
        <v>0.068</v>
      </c>
      <c r="C19" s="151" t="n">
        <v>0.242</v>
      </c>
      <c r="D19" s="150" t="n">
        <v>0.127</v>
      </c>
      <c r="E19" s="151" t="n">
        <v>0.284</v>
      </c>
      <c r="F19" s="150" t="n">
        <v>0.759</v>
      </c>
      <c r="G19" s="151" t="n">
        <v>0.239</v>
      </c>
      <c r="H19" s="150" t="n">
        <v>0.1</v>
      </c>
      <c r="I19" s="151" t="n">
        <v>0.259</v>
      </c>
      <c r="J19" s="150" t="n">
        <v>0.601</v>
      </c>
      <c r="K19" s="151" t="n">
        <v>0.326</v>
      </c>
    </row>
    <row r="20">
      <c r="B20" s="150" t="n">
        <v>0.874</v>
      </c>
      <c r="C20" s="151" t="n">
        <v>0.42</v>
      </c>
      <c r="D20" s="150" t="n">
        <v>0.209</v>
      </c>
      <c r="E20" s="151" t="n">
        <v>0.862</v>
      </c>
      <c r="F20" s="150" t="n">
        <v>0.666</v>
      </c>
      <c r="G20" s="151" t="n">
        <v>0.491</v>
      </c>
      <c r="H20" s="150" t="n">
        <v>0.523</v>
      </c>
      <c r="I20" s="151" t="n">
        <v>0.665</v>
      </c>
      <c r="J20" s="150" t="n">
        <v>0.195</v>
      </c>
      <c r="K20" s="151" t="n">
        <v>0.887</v>
      </c>
    </row>
    <row r="21">
      <c r="B21" s="150" t="n">
        <v>0.875</v>
      </c>
      <c r="C21" s="151" t="n">
        <v>0.969</v>
      </c>
      <c r="D21" s="150" t="n">
        <v>0.552</v>
      </c>
      <c r="E21" s="151" t="n">
        <v>0.077</v>
      </c>
      <c r="F21" s="150" t="n">
        <v>0.865</v>
      </c>
      <c r="G21" s="151" t="n">
        <v>0.333</v>
      </c>
      <c r="H21" s="150" t="n">
        <v>0.673</v>
      </c>
      <c r="I21" s="151" t="n">
        <v>0.305</v>
      </c>
      <c r="J21" s="150" t="n">
        <v>0.058</v>
      </c>
      <c r="K21" s="151" t="n">
        <v>0.075</v>
      </c>
    </row>
    <row r="22">
      <c r="B22" s="150" t="n">
        <v>0.341</v>
      </c>
      <c r="C22" s="151" t="n">
        <v>0.6879999999999999</v>
      </c>
      <c r="D22" s="150" t="n">
        <v>0.503</v>
      </c>
      <c r="E22" s="151" t="n">
        <v>0.447</v>
      </c>
      <c r="F22" s="150" t="n">
        <v>0.545</v>
      </c>
      <c r="G22" s="151" t="n">
        <v>0.731</v>
      </c>
      <c r="H22" s="150" t="n">
        <v>0.994</v>
      </c>
      <c r="I22" s="151" t="n">
        <v>0.307</v>
      </c>
      <c r="J22" s="150" t="n">
        <v>0.22</v>
      </c>
      <c r="K22" s="151" t="n">
        <v>0.659</v>
      </c>
    </row>
    <row r="23">
      <c r="B23" s="150" t="n">
        <v>0.123</v>
      </c>
      <c r="C23" s="151" t="n">
        <v>0.791</v>
      </c>
      <c r="D23" s="150" t="n">
        <v>0.721</v>
      </c>
      <c r="E23" s="151" t="n">
        <v>0.137</v>
      </c>
      <c r="F23" s="150" t="n">
        <v>0.06900000000000001</v>
      </c>
      <c r="G23" s="151" t="n">
        <v>0.998</v>
      </c>
      <c r="H23" s="150" t="n">
        <v>0.798</v>
      </c>
      <c r="I23" s="151" t="n">
        <v>0.879</v>
      </c>
      <c r="J23" s="150" t="n">
        <v>0.631</v>
      </c>
      <c r="K23" s="151" t="n">
        <v>0.422</v>
      </c>
    </row>
    <row r="24">
      <c r="B24" s="152" t="n">
        <v>0.006</v>
      </c>
      <c r="C24" s="153" t="n">
        <v>0.12</v>
      </c>
      <c r="D24" s="152" t="n">
        <v>0.914</v>
      </c>
      <c r="E24" s="153" t="n">
        <v>0.574</v>
      </c>
      <c r="F24" s="152" t="n">
        <v>0.263</v>
      </c>
      <c r="G24" s="153" t="n">
        <v>0.176</v>
      </c>
      <c r="H24" s="152" t="n">
        <v>0.104</v>
      </c>
      <c r="I24" s="153" t="n">
        <v>0.755</v>
      </c>
      <c r="J24" s="152" t="n">
        <v>0.432</v>
      </c>
      <c r="K24" s="153" t="n">
        <v>0.391</v>
      </c>
    </row>
    <row r="26">
      <c r="B26" s="154" t="inlineStr">
        <is>
          <t>INSTRUCTIONS</t>
        </is>
      </c>
    </row>
    <row r="27" ht="27" customHeight="1">
      <c r="B27" s="146" t="inlineStr">
        <is>
          <t>1. Begin with the numbers at the top of each column; use each successive pair of numbers to determine the longitudinal and transverse distance to each test site.</t>
        </is>
      </c>
      <c r="C27" s="3" t="n"/>
      <c r="D27" s="3" t="n"/>
      <c r="E27" s="3" t="n"/>
      <c r="F27" s="3" t="n"/>
      <c r="G27" s="3" t="n"/>
      <c r="H27" s="3" t="n"/>
      <c r="I27" s="3" t="n"/>
      <c r="J27" s="3" t="n"/>
      <c r="K27" s="4" t="n"/>
    </row>
    <row r="28" ht="27" customHeight="1">
      <c r="B28" s="146" t="inlineStr">
        <is>
          <t>2. Arrange the pairs in sequential order based on the longitudinal location. Record the paired numbers on Lines G and H of Form TL-3112.</t>
        </is>
      </c>
      <c r="C28" s="3" t="n"/>
      <c r="D28" s="3" t="n"/>
      <c r="E28" s="3" t="n"/>
      <c r="F28" s="3" t="n"/>
      <c r="G28" s="3" t="n"/>
      <c r="H28" s="3" t="n"/>
      <c r="I28" s="3" t="n"/>
      <c r="J28" s="3" t="n"/>
      <c r="K28" s="4" t="n"/>
    </row>
    <row r="29" ht="39" customHeight="1">
      <c r="B29" s="146" t="inlineStr">
        <is>
          <t>3. To determine the longitudinal distance from the start station on Line B, multiply the numbers on Line G by the length of the pavement on Line D. Round the product up to the next whole number and record on Line I. To determine the station of a test site, add the distance on Line I to the start station on Line B and record the result on Line J.</t>
        </is>
      </c>
      <c r="C29" s="3" t="n"/>
      <c r="D29" s="3" t="n"/>
      <c r="E29" s="3" t="n"/>
      <c r="F29" s="3" t="n"/>
      <c r="G29" s="3" t="n"/>
      <c r="H29" s="3" t="n"/>
      <c r="I29" s="3" t="n"/>
      <c r="J29" s="3" t="n"/>
      <c r="K29" s="4" t="n"/>
    </row>
    <row r="30" ht="39" customHeight="1">
      <c r="B30" s="146" t="inlineStr">
        <is>
          <t>4. To determine the transverse distance from the edge of pavement, multiply the numbers on Line H by the width of the pavement on Line E. Round the product up to the next whole number and record on Line K. Any test site within 1 ft. of the pavement edge should be relocated to 1 ft. from the edge.</t>
        </is>
      </c>
      <c r="C30" s="3" t="n"/>
      <c r="D30" s="3" t="n"/>
      <c r="E30" s="3" t="n"/>
      <c r="F30" s="3" t="n"/>
      <c r="G30" s="3" t="n"/>
      <c r="H30" s="3" t="n"/>
      <c r="I30" s="3" t="n"/>
      <c r="J30" s="3" t="n"/>
      <c r="K30" s="4" t="n"/>
    </row>
    <row r="31" ht="15" customHeight="1">
      <c r="B31" s="146" t="inlineStr">
        <is>
          <t>5. Reference all test sites to identifiable locations; e.g., edge of pavement, stationing, centerline, etc.</t>
        </is>
      </c>
      <c r="C31" s="3" t="n"/>
      <c r="D31" s="3" t="n"/>
      <c r="E31" s="3" t="n"/>
      <c r="F31" s="3" t="n"/>
      <c r="G31" s="3" t="n"/>
      <c r="H31" s="3" t="n"/>
      <c r="I31" s="3" t="n"/>
      <c r="J31" s="3" t="n"/>
      <c r="K31" s="4" t="n"/>
    </row>
  </sheetData>
  <sheetProtection selectLockedCells="0" selectUnlockedCells="0" sheet="1" objects="1" insertRows="1" insertHyperlinks="1" autoFilter="1" scenarios="1" formatColumns="0" deleteColumns="1" insertColumns="1" pivotTables="1" deleteRows="1" formatCells="1" formatRows="0" sort="1"/>
  <mergeCells count="16">
    <mergeCell ref="F3:G3"/>
    <mergeCell ref="J3:K3"/>
    <mergeCell ref="B31:K31"/>
    <mergeCell ref="B28:K28"/>
    <mergeCell ref="B3:C3"/>
    <mergeCell ref="B27:K27"/>
    <mergeCell ref="J14:K14"/>
    <mergeCell ref="B30:K30"/>
    <mergeCell ref="D14:E14"/>
    <mergeCell ref="B14:C14"/>
    <mergeCell ref="B29:K29"/>
    <mergeCell ref="F14:G14"/>
    <mergeCell ref="B2:K2"/>
    <mergeCell ref="D3:E3"/>
    <mergeCell ref="H14:I14"/>
    <mergeCell ref="H3:I3"/>
  </mergeCells>
  <printOptions horizontalCentered="1"/>
  <pageMargins left="0.75" right="0.75" top="1" bottom="1" header="0.5" footer="0.5"/>
  <pageSetup orientation="portrait" paperSize="1" fitToHeight="1" fitToWidth="1"/>
  <ignoredErrors>
    <ignoredError sqref="A1:L80" unlockedFormula="1" formula="1" formulaRange="1" numberStoredAsText="1" emptyCellReference="1" evalError="1"/>
  </ignoredError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Bunker Inspections</dc:creator>
  <dc:title xmlns:dc="http://purl.org/dc/elements/1.1/">CT 375 / TL-3112 Workbook</dc:title>
  <dc:description xmlns:dc="http://purl.org/dc/elements/1.1/">bunkerinspections.com · version 1.2</dc:description>
  <dc:subject xmlns:dc="http://purl.org/dc/elements/1.1/">Density and Relative Compaction of In-Situ Hot Mix Asphalt (California Test 375)</dc:subject>
  <dcterms:created xmlns:dcterms="http://purl.org/dc/terms/" xmlns:xsi="http://www.w3.org/2001/XMLSchema-instance" xsi:type="dcterms:W3CDTF">2026-10-19T12:00:00Z</dcterms:created>
  <dcterms:modified xmlns:dcterms="http://purl.org/dc/terms/" xmlns:xsi="http://www.w3.org/2001/XMLSchema-instance" xsi:type="dcterms:W3CDTF">2026-10-19T23:30:46Z</dcterms:modified>
  <cp:lastModifiedBy>Bunker Inspections</cp:lastModifiedBy>
  <cp:keywords>CT 375, TL-3112, relative density, relative compaction, density gauge, Caltrans</cp:keywords>
</cp:coreProperties>
</file>